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drawings/drawing5.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drawings/drawing6.xml" ContentType="application/vnd.openxmlformats-officedocument.drawing+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vlaamseoverheid-my.sharepoint.com/personal/wout_behaeghel_vlaio_be/Documents/Bureaublad/"/>
    </mc:Choice>
  </mc:AlternateContent>
  <xr:revisionPtr revIDLastSave="0" documentId="8_{63D13A1E-62DC-4020-895A-F39B1BE30FE2}" xr6:coauthVersionLast="47" xr6:coauthVersionMax="47" xr10:uidLastSave="{00000000-0000-0000-0000-000000000000}"/>
  <bookViews>
    <workbookView xWindow="57480" yWindow="-120" windowWidth="29040" windowHeight="17520" tabRatio="836" xr2:uid="{DF96F96A-B62D-40C6-A0FC-DDB5D8C12A46}"/>
  </bookViews>
  <sheets>
    <sheet name="Toelichting" sheetId="52" r:id="rId1"/>
    <sheet name="DASHBOARD" sheetId="92" r:id="rId2"/>
    <sheet name="Manuele input" sheetId="97" r:id="rId3"/>
    <sheet name="Referentieparameters" sheetId="94" r:id="rId4"/>
    <sheet name="Achtergrondparameters" sheetId="46" r:id="rId5"/>
    <sheet name="Verbruiksprofielen" sheetId="90" r:id="rId6"/>
    <sheet name="Berekening business case" sheetId="93" r:id="rId7"/>
    <sheet name="Dropdown lists" sheetId="72" r:id="rId8"/>
    <sheet name="Achtergrond verbruiksprofielen" sheetId="91" r:id="rId9"/>
  </sheets>
  <definedNames>
    <definedName name="_xlnm._FilterDatabase" localSheetId="7" hidden="1">'Dropdown lists'!$M$2:$M$6</definedName>
    <definedName name="ev_periode_jaar" localSheetId="6">'Berekening business case'!$B$10</definedName>
    <definedName name="ev_periode_jaa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3" i="93" l="1"/>
  <c r="E33" i="90"/>
  <c r="F33" i="90"/>
  <c r="G33" i="90"/>
  <c r="H33" i="90"/>
  <c r="I33" i="90"/>
  <c r="J33" i="90"/>
  <c r="K33" i="90"/>
  <c r="L33" i="90"/>
  <c r="M33" i="90"/>
  <c r="N33" i="90"/>
  <c r="O33" i="90"/>
  <c r="P33" i="90"/>
  <c r="Q33" i="90"/>
  <c r="R33" i="90"/>
  <c r="S33" i="90"/>
  <c r="T33" i="90"/>
  <c r="AH154" i="90" l="1"/>
  <c r="AG154" i="90"/>
  <c r="AF154" i="90"/>
  <c r="AE154" i="90"/>
  <c r="AD154" i="90"/>
  <c r="AC154" i="90"/>
  <c r="AB154" i="90"/>
  <c r="AA154" i="90"/>
  <c r="Z154" i="90"/>
  <c r="Y154" i="90"/>
  <c r="X154" i="90"/>
  <c r="W154" i="90"/>
  <c r="V154" i="90"/>
  <c r="U154" i="90"/>
  <c r="T154" i="90"/>
  <c r="S154" i="90"/>
  <c r="R154" i="90"/>
  <c r="Q154" i="90"/>
  <c r="P154" i="90"/>
  <c r="O154" i="90"/>
  <c r="N154" i="90"/>
  <c r="M154" i="90"/>
  <c r="L154" i="90"/>
  <c r="K154" i="90"/>
  <c r="J154" i="90"/>
  <c r="I154" i="90"/>
  <c r="H154" i="90"/>
  <c r="G154" i="90"/>
  <c r="F154" i="90"/>
  <c r="E154" i="90"/>
  <c r="AH153" i="90"/>
  <c r="AG153" i="90"/>
  <c r="AF153" i="90"/>
  <c r="AE153" i="90"/>
  <c r="AD153" i="90"/>
  <c r="AC153" i="90"/>
  <c r="AB153" i="90"/>
  <c r="AA153" i="90"/>
  <c r="Z153" i="90"/>
  <c r="Y153" i="90"/>
  <c r="X153" i="90"/>
  <c r="W153" i="90"/>
  <c r="V153" i="90"/>
  <c r="U153" i="90"/>
  <c r="T153" i="90"/>
  <c r="S153" i="90"/>
  <c r="R153" i="90"/>
  <c r="Q153" i="90"/>
  <c r="P153" i="90"/>
  <c r="O153" i="90"/>
  <c r="N153" i="90"/>
  <c r="M153" i="90"/>
  <c r="L153" i="90"/>
  <c r="K153" i="90"/>
  <c r="J153" i="90"/>
  <c r="I153" i="90"/>
  <c r="H153" i="90"/>
  <c r="G153" i="90"/>
  <c r="F153" i="90"/>
  <c r="E153" i="90"/>
  <c r="AH152" i="90"/>
  <c r="AG152" i="90"/>
  <c r="AF152" i="90"/>
  <c r="AE152" i="90"/>
  <c r="AD152" i="90"/>
  <c r="AC152" i="90"/>
  <c r="AB152" i="90"/>
  <c r="AA152" i="90"/>
  <c r="Z152" i="90"/>
  <c r="Y152" i="90"/>
  <c r="X152" i="90"/>
  <c r="W152" i="90"/>
  <c r="V152" i="90"/>
  <c r="U152" i="90"/>
  <c r="T152" i="90"/>
  <c r="S152" i="90"/>
  <c r="R152" i="90"/>
  <c r="Q152" i="90"/>
  <c r="P152" i="90"/>
  <c r="O152" i="90"/>
  <c r="N152" i="90"/>
  <c r="M152" i="90"/>
  <c r="L152" i="90"/>
  <c r="K152" i="90"/>
  <c r="J152" i="90"/>
  <c r="I152" i="90"/>
  <c r="H152" i="90"/>
  <c r="G152" i="90"/>
  <c r="F152" i="90"/>
  <c r="E152" i="90"/>
  <c r="AH151" i="90"/>
  <c r="AG151" i="90"/>
  <c r="AF151" i="90"/>
  <c r="AE151" i="90"/>
  <c r="AD151" i="90"/>
  <c r="AC151" i="90"/>
  <c r="AB151" i="90"/>
  <c r="AA151" i="90"/>
  <c r="Z151" i="90"/>
  <c r="Y151" i="90"/>
  <c r="X151" i="90"/>
  <c r="W151" i="90"/>
  <c r="V151" i="90"/>
  <c r="U151" i="90"/>
  <c r="T151" i="90"/>
  <c r="S151" i="90"/>
  <c r="R151" i="90"/>
  <c r="Q151" i="90"/>
  <c r="P151" i="90"/>
  <c r="O151" i="90"/>
  <c r="N151" i="90"/>
  <c r="M151" i="90"/>
  <c r="L151" i="90"/>
  <c r="K151" i="90"/>
  <c r="J151" i="90"/>
  <c r="I151" i="90"/>
  <c r="H151" i="90"/>
  <c r="G151" i="90"/>
  <c r="F151" i="90"/>
  <c r="E151" i="90"/>
  <c r="AH148" i="90"/>
  <c r="AG148" i="90"/>
  <c r="AF148" i="90"/>
  <c r="AE148" i="90"/>
  <c r="AD148" i="90"/>
  <c r="AC148" i="90"/>
  <c r="AB148" i="90"/>
  <c r="AA148" i="90"/>
  <c r="Z148" i="90"/>
  <c r="Y148" i="90"/>
  <c r="X148" i="90"/>
  <c r="W148" i="90"/>
  <c r="V148" i="90"/>
  <c r="U148" i="90"/>
  <c r="T148" i="90"/>
  <c r="S148" i="90"/>
  <c r="R148" i="90"/>
  <c r="Q148" i="90"/>
  <c r="P148" i="90"/>
  <c r="O148" i="90"/>
  <c r="N148" i="90"/>
  <c r="M148" i="90"/>
  <c r="L148" i="90"/>
  <c r="K148" i="90"/>
  <c r="J148" i="90"/>
  <c r="I148" i="90"/>
  <c r="H148" i="90"/>
  <c r="G148" i="90"/>
  <c r="F148" i="90"/>
  <c r="E148" i="90"/>
  <c r="AH147" i="90"/>
  <c r="AG147" i="90"/>
  <c r="AF147" i="90"/>
  <c r="AE147" i="90"/>
  <c r="AD147" i="90"/>
  <c r="AC147" i="90"/>
  <c r="AB147" i="90"/>
  <c r="AA147" i="90"/>
  <c r="Z147" i="90"/>
  <c r="Y147" i="90"/>
  <c r="X147" i="90"/>
  <c r="W147" i="90"/>
  <c r="V147" i="90"/>
  <c r="U147" i="90"/>
  <c r="T147" i="90"/>
  <c r="S147" i="90"/>
  <c r="R147" i="90"/>
  <c r="Q147" i="90"/>
  <c r="P147" i="90"/>
  <c r="O147" i="90"/>
  <c r="N147" i="90"/>
  <c r="M147" i="90"/>
  <c r="L147" i="90"/>
  <c r="K147" i="90"/>
  <c r="J147" i="90"/>
  <c r="I147" i="90"/>
  <c r="H147" i="90"/>
  <c r="G147" i="90"/>
  <c r="F147" i="90"/>
  <c r="E147" i="90"/>
  <c r="AH146" i="90"/>
  <c r="AG146" i="90"/>
  <c r="AF146" i="90"/>
  <c r="AE146" i="90"/>
  <c r="AD146" i="90"/>
  <c r="AC146" i="90"/>
  <c r="AB146" i="90"/>
  <c r="AA146" i="90"/>
  <c r="Z146" i="90"/>
  <c r="Y146" i="90"/>
  <c r="X146" i="90"/>
  <c r="W146" i="90"/>
  <c r="V146" i="90"/>
  <c r="U146" i="90"/>
  <c r="T146" i="90"/>
  <c r="S146" i="90"/>
  <c r="R146" i="90"/>
  <c r="Q146" i="90"/>
  <c r="P146" i="90"/>
  <c r="O146" i="90"/>
  <c r="N146" i="90"/>
  <c r="M146" i="90"/>
  <c r="L146" i="90"/>
  <c r="K146" i="90"/>
  <c r="J146" i="90"/>
  <c r="I146" i="90"/>
  <c r="H146" i="90"/>
  <c r="G146" i="90"/>
  <c r="F146" i="90"/>
  <c r="E146" i="90"/>
  <c r="AH145" i="90"/>
  <c r="AG145" i="90"/>
  <c r="AF145" i="90"/>
  <c r="AE145" i="90"/>
  <c r="AD145" i="90"/>
  <c r="AC145" i="90"/>
  <c r="AB145" i="90"/>
  <c r="AA145" i="90"/>
  <c r="Z145" i="90"/>
  <c r="Y145" i="90"/>
  <c r="X145" i="90"/>
  <c r="W145" i="90"/>
  <c r="V145" i="90"/>
  <c r="U145" i="90"/>
  <c r="T145" i="90"/>
  <c r="S145" i="90"/>
  <c r="R145" i="90"/>
  <c r="Q145" i="90"/>
  <c r="P145" i="90"/>
  <c r="O145" i="90"/>
  <c r="N145" i="90"/>
  <c r="M145" i="90"/>
  <c r="L145" i="90"/>
  <c r="K145" i="90"/>
  <c r="J145" i="90"/>
  <c r="I145" i="90"/>
  <c r="H145" i="90"/>
  <c r="G145" i="90"/>
  <c r="F145" i="90"/>
  <c r="E145" i="90"/>
  <c r="AH142" i="90"/>
  <c r="AG142" i="90"/>
  <c r="AF142" i="90"/>
  <c r="AE142" i="90"/>
  <c r="AD142" i="90"/>
  <c r="AC142" i="90"/>
  <c r="AB142" i="90"/>
  <c r="AA142" i="90"/>
  <c r="Z142" i="90"/>
  <c r="Y142" i="90"/>
  <c r="X142" i="90"/>
  <c r="W142" i="90"/>
  <c r="V142" i="90"/>
  <c r="U142" i="90"/>
  <c r="T142" i="90"/>
  <c r="S142" i="90"/>
  <c r="R142" i="90"/>
  <c r="Q142" i="90"/>
  <c r="P142" i="90"/>
  <c r="O142" i="90"/>
  <c r="N142" i="90"/>
  <c r="M142" i="90"/>
  <c r="L142" i="90"/>
  <c r="K142" i="90"/>
  <c r="J142" i="90"/>
  <c r="I142" i="90"/>
  <c r="H142" i="90"/>
  <c r="G142" i="90"/>
  <c r="F142" i="90"/>
  <c r="AH141" i="90"/>
  <c r="AG141" i="90"/>
  <c r="AF141" i="90"/>
  <c r="AE141" i="90"/>
  <c r="AD141" i="90"/>
  <c r="AC141" i="90"/>
  <c r="AB141" i="90"/>
  <c r="AA141" i="90"/>
  <c r="Z141" i="90"/>
  <c r="Y141" i="90"/>
  <c r="X141" i="90"/>
  <c r="W141" i="90"/>
  <c r="V141" i="90"/>
  <c r="U141" i="90"/>
  <c r="T141" i="90"/>
  <c r="S141" i="90"/>
  <c r="R141" i="90"/>
  <c r="Q141" i="90"/>
  <c r="P141" i="90"/>
  <c r="O141" i="90"/>
  <c r="N141" i="90"/>
  <c r="M141" i="90"/>
  <c r="L141" i="90"/>
  <c r="K141" i="90"/>
  <c r="J141" i="90"/>
  <c r="I141" i="90"/>
  <c r="H141" i="90"/>
  <c r="G141" i="90"/>
  <c r="F141" i="90"/>
  <c r="AH140" i="90"/>
  <c r="AG140" i="90"/>
  <c r="AF140" i="90"/>
  <c r="AE140" i="90"/>
  <c r="AD140" i="90"/>
  <c r="AC140" i="90"/>
  <c r="AB140" i="90"/>
  <c r="AA140" i="90"/>
  <c r="Z140" i="90"/>
  <c r="Y140" i="90"/>
  <c r="X140" i="90"/>
  <c r="W140" i="90"/>
  <c r="V140" i="90"/>
  <c r="U140" i="90"/>
  <c r="T140" i="90"/>
  <c r="S140" i="90"/>
  <c r="R140" i="90"/>
  <c r="Q140" i="90"/>
  <c r="P140" i="90"/>
  <c r="O140" i="90"/>
  <c r="N140" i="90"/>
  <c r="M140" i="90"/>
  <c r="L140" i="90"/>
  <c r="K140" i="90"/>
  <c r="J140" i="90"/>
  <c r="I140" i="90"/>
  <c r="H140" i="90"/>
  <c r="G140" i="90"/>
  <c r="F140" i="90"/>
  <c r="AH139" i="90"/>
  <c r="AG139" i="90"/>
  <c r="AF139" i="90"/>
  <c r="AE139" i="90"/>
  <c r="AD139" i="90"/>
  <c r="AC139" i="90"/>
  <c r="AB139" i="90"/>
  <c r="AA139" i="90"/>
  <c r="Z139" i="90"/>
  <c r="Y139" i="90"/>
  <c r="X139" i="90"/>
  <c r="W139" i="90"/>
  <c r="V139" i="90"/>
  <c r="U139" i="90"/>
  <c r="T139" i="90"/>
  <c r="S139" i="90"/>
  <c r="R139" i="90"/>
  <c r="Q139" i="90"/>
  <c r="P139" i="90"/>
  <c r="O139" i="90"/>
  <c r="N139" i="90"/>
  <c r="M139" i="90"/>
  <c r="L139" i="90"/>
  <c r="K139" i="90"/>
  <c r="J139" i="90"/>
  <c r="I139" i="90"/>
  <c r="H139" i="90"/>
  <c r="G139" i="90"/>
  <c r="F139" i="90"/>
  <c r="E142" i="90"/>
  <c r="E141" i="90"/>
  <c r="E140" i="90"/>
  <c r="E139" i="90"/>
  <c r="A136" i="90"/>
  <c r="AH175" i="90" l="1"/>
  <c r="AG175" i="90"/>
  <c r="AF175" i="90"/>
  <c r="AE175" i="90"/>
  <c r="AD175" i="90"/>
  <c r="AA175" i="90"/>
  <c r="AB175" i="90"/>
  <c r="AC175" i="90"/>
  <c r="Z175" i="90"/>
  <c r="Y175" i="90"/>
  <c r="V175" i="90"/>
  <c r="W175" i="90"/>
  <c r="X175" i="90"/>
  <c r="U175" i="90"/>
  <c r="T175" i="90"/>
  <c r="Q175" i="90"/>
  <c r="R175" i="90"/>
  <c r="S175" i="90"/>
  <c r="P175" i="90"/>
  <c r="O175" i="90"/>
  <c r="L175" i="90"/>
  <c r="M175" i="90"/>
  <c r="N175" i="90"/>
  <c r="K175" i="90"/>
  <c r="J175" i="90"/>
  <c r="G175" i="90"/>
  <c r="H175" i="90"/>
  <c r="I175" i="90"/>
  <c r="F175" i="90"/>
  <c r="E175" i="90"/>
  <c r="AH169" i="90"/>
  <c r="AG169" i="90"/>
  <c r="AF169" i="90"/>
  <c r="AE169" i="90"/>
  <c r="AD169" i="90"/>
  <c r="AA169" i="90"/>
  <c r="AB169" i="90"/>
  <c r="AC169" i="90"/>
  <c r="Z169" i="90"/>
  <c r="Y169" i="90"/>
  <c r="V169" i="90"/>
  <c r="W169" i="90"/>
  <c r="X169" i="90"/>
  <c r="U169" i="90"/>
  <c r="T169" i="90"/>
  <c r="Q169" i="90"/>
  <c r="R169" i="90"/>
  <c r="S169" i="90"/>
  <c r="P169" i="90"/>
  <c r="O169" i="90"/>
  <c r="L169" i="90"/>
  <c r="M169" i="90"/>
  <c r="N169" i="90"/>
  <c r="K169" i="90"/>
  <c r="J169" i="90"/>
  <c r="G169" i="90"/>
  <c r="H169" i="90"/>
  <c r="I169" i="90"/>
  <c r="F169" i="90"/>
  <c r="E169" i="90"/>
  <c r="AH163" i="90"/>
  <c r="AG163" i="90"/>
  <c r="AF163" i="90"/>
  <c r="AE163" i="90"/>
  <c r="AD163" i="90"/>
  <c r="AA163" i="90"/>
  <c r="AB163" i="90"/>
  <c r="AC163" i="90"/>
  <c r="Z163" i="90"/>
  <c r="Y163" i="90"/>
  <c r="V163" i="90"/>
  <c r="W163" i="90"/>
  <c r="X163" i="90"/>
  <c r="U163" i="90"/>
  <c r="T163" i="90"/>
  <c r="Q163" i="90"/>
  <c r="R163" i="90"/>
  <c r="S163" i="90"/>
  <c r="P163" i="90"/>
  <c r="O163" i="90"/>
  <c r="L163" i="90"/>
  <c r="M163" i="90"/>
  <c r="N163" i="90"/>
  <c r="K163" i="90"/>
  <c r="J163" i="90"/>
  <c r="G163" i="90"/>
  <c r="H163" i="90"/>
  <c r="I163" i="90"/>
  <c r="F163" i="90"/>
  <c r="E163" i="90"/>
  <c r="AH111" i="90"/>
  <c r="AG111" i="90"/>
  <c r="AF111" i="90"/>
  <c r="AE111" i="90"/>
  <c r="AD111" i="90"/>
  <c r="AA111" i="90"/>
  <c r="AB111" i="90"/>
  <c r="AC111" i="90"/>
  <c r="Z111" i="90"/>
  <c r="Y111" i="90"/>
  <c r="V111" i="90"/>
  <c r="W111" i="90"/>
  <c r="X111" i="90"/>
  <c r="U111" i="90"/>
  <c r="T111" i="90"/>
  <c r="Q111" i="90"/>
  <c r="R111" i="90"/>
  <c r="S111" i="90"/>
  <c r="P111" i="90"/>
  <c r="O111" i="90"/>
  <c r="L111" i="90"/>
  <c r="M111" i="90"/>
  <c r="N111" i="90"/>
  <c r="K111" i="90"/>
  <c r="J111" i="90"/>
  <c r="G111" i="90"/>
  <c r="H111" i="90"/>
  <c r="I111" i="90"/>
  <c r="F111" i="90"/>
  <c r="E111" i="90"/>
  <c r="AH105" i="90"/>
  <c r="AG105" i="90"/>
  <c r="AF105" i="90"/>
  <c r="AE105" i="90"/>
  <c r="AD105" i="90"/>
  <c r="AA105" i="90"/>
  <c r="AB105" i="90"/>
  <c r="AC105" i="90"/>
  <c r="Z105" i="90"/>
  <c r="Y105" i="90"/>
  <c r="V105" i="90"/>
  <c r="W105" i="90"/>
  <c r="X105" i="90"/>
  <c r="U105" i="90"/>
  <c r="T105" i="90"/>
  <c r="Q105" i="90"/>
  <c r="R105" i="90"/>
  <c r="S105" i="90"/>
  <c r="P105" i="90"/>
  <c r="O105" i="90"/>
  <c r="L105" i="90"/>
  <c r="M105" i="90"/>
  <c r="N105" i="90"/>
  <c r="K105" i="90"/>
  <c r="J105" i="90"/>
  <c r="G105" i="90"/>
  <c r="H105" i="90"/>
  <c r="I105" i="90"/>
  <c r="F105" i="90"/>
  <c r="E105" i="90"/>
  <c r="AH99" i="90"/>
  <c r="AG99" i="90"/>
  <c r="AF99" i="90"/>
  <c r="AE99" i="90"/>
  <c r="AD99" i="90"/>
  <c r="AA99" i="90"/>
  <c r="AB99" i="90"/>
  <c r="AC99" i="90"/>
  <c r="Z99" i="90"/>
  <c r="Y99" i="90"/>
  <c r="V99" i="90"/>
  <c r="W99" i="90"/>
  <c r="X99" i="90"/>
  <c r="U99" i="90"/>
  <c r="T99" i="90"/>
  <c r="Q99" i="90"/>
  <c r="R99" i="90"/>
  <c r="S99" i="90"/>
  <c r="P99" i="90"/>
  <c r="O99" i="90"/>
  <c r="L99" i="90"/>
  <c r="M99" i="90"/>
  <c r="N99" i="90"/>
  <c r="K99" i="90"/>
  <c r="F99" i="90"/>
  <c r="J99" i="90"/>
  <c r="G99" i="90"/>
  <c r="H99" i="90"/>
  <c r="I99" i="90"/>
  <c r="E99" i="90"/>
  <c r="AH89" i="90"/>
  <c r="AG89" i="90"/>
  <c r="AF89" i="90"/>
  <c r="AE89" i="90"/>
  <c r="AD89" i="90"/>
  <c r="AA89" i="90"/>
  <c r="AB89" i="90"/>
  <c r="AC89" i="90"/>
  <c r="Z89" i="90"/>
  <c r="Y89" i="90"/>
  <c r="V89" i="90"/>
  <c r="W89" i="90"/>
  <c r="X89" i="90"/>
  <c r="U89" i="90"/>
  <c r="T89" i="90"/>
  <c r="Q89" i="90"/>
  <c r="R89" i="90"/>
  <c r="S89" i="90"/>
  <c r="P89" i="90"/>
  <c r="O89" i="90"/>
  <c r="L89" i="90"/>
  <c r="M89" i="90"/>
  <c r="N89" i="90"/>
  <c r="K89" i="90"/>
  <c r="J89" i="90"/>
  <c r="G89" i="90"/>
  <c r="H89" i="90"/>
  <c r="I89" i="90"/>
  <c r="F89" i="90"/>
  <c r="E89" i="90"/>
  <c r="AH83" i="90"/>
  <c r="AG83" i="90"/>
  <c r="AF83" i="90"/>
  <c r="AE83" i="90"/>
  <c r="AD83" i="90"/>
  <c r="AB83" i="90"/>
  <c r="AC83" i="90"/>
  <c r="AA83" i="90"/>
  <c r="Z83" i="90"/>
  <c r="Y83" i="90"/>
  <c r="V83" i="90"/>
  <c r="W83" i="90"/>
  <c r="X83" i="90"/>
  <c r="U83" i="90"/>
  <c r="T83" i="90"/>
  <c r="Q83" i="90"/>
  <c r="R83" i="90"/>
  <c r="S83" i="90"/>
  <c r="P83" i="90"/>
  <c r="O83" i="90"/>
  <c r="L83" i="90"/>
  <c r="M83" i="90"/>
  <c r="N83" i="90"/>
  <c r="K83" i="90"/>
  <c r="J83" i="90"/>
  <c r="G83" i="90"/>
  <c r="H83" i="90"/>
  <c r="I83" i="90"/>
  <c r="F83" i="90"/>
  <c r="E83" i="90"/>
  <c r="AH77" i="90"/>
  <c r="AG77" i="90"/>
  <c r="AF77" i="90"/>
  <c r="AE77" i="90"/>
  <c r="AD77" i="90"/>
  <c r="AA77" i="90"/>
  <c r="AB77" i="90"/>
  <c r="AC77" i="90"/>
  <c r="Z77" i="90"/>
  <c r="Y77" i="90"/>
  <c r="V77" i="90"/>
  <c r="W77" i="90"/>
  <c r="X77" i="90"/>
  <c r="U77" i="90"/>
  <c r="T77" i="90"/>
  <c r="Q77" i="90"/>
  <c r="R77" i="90"/>
  <c r="S77" i="90"/>
  <c r="P77" i="90"/>
  <c r="O77" i="90"/>
  <c r="L77" i="90"/>
  <c r="M77" i="90"/>
  <c r="N77" i="90"/>
  <c r="K77" i="90"/>
  <c r="J77" i="90"/>
  <c r="H77" i="90"/>
  <c r="I77" i="90"/>
  <c r="G77" i="90"/>
  <c r="F77" i="90"/>
  <c r="E77" i="90"/>
  <c r="AH67" i="90"/>
  <c r="AG67" i="90"/>
  <c r="AF67" i="90"/>
  <c r="AE67" i="90"/>
  <c r="AD67" i="90"/>
  <c r="AA67" i="90"/>
  <c r="AB67" i="90"/>
  <c r="AC67" i="90"/>
  <c r="Z67" i="90"/>
  <c r="Y67" i="90"/>
  <c r="V67" i="90"/>
  <c r="W67" i="90"/>
  <c r="X67" i="90"/>
  <c r="U67" i="90"/>
  <c r="T67" i="90"/>
  <c r="Q67" i="90"/>
  <c r="R67" i="90"/>
  <c r="S67" i="90"/>
  <c r="P67" i="90"/>
  <c r="O67" i="90"/>
  <c r="L67" i="90"/>
  <c r="M67" i="90"/>
  <c r="N67" i="90"/>
  <c r="K67" i="90"/>
  <c r="J67" i="90"/>
  <c r="G67" i="90"/>
  <c r="H67" i="90"/>
  <c r="I67" i="90"/>
  <c r="F67" i="90"/>
  <c r="E67" i="90"/>
  <c r="AE61" i="90"/>
  <c r="AF61" i="90"/>
  <c r="AG61" i="90"/>
  <c r="AH61" i="90"/>
  <c r="AD61" i="90"/>
  <c r="AA61" i="90"/>
  <c r="AB61" i="90"/>
  <c r="AC61" i="90"/>
  <c r="Z61" i="90"/>
  <c r="Y61" i="90"/>
  <c r="V61" i="90"/>
  <c r="W61" i="90"/>
  <c r="X61" i="90"/>
  <c r="U61" i="90"/>
  <c r="T61" i="90"/>
  <c r="Q61" i="90"/>
  <c r="R61" i="90"/>
  <c r="S61" i="90"/>
  <c r="P61" i="90"/>
  <c r="O61" i="90"/>
  <c r="L61" i="90"/>
  <c r="M61" i="90"/>
  <c r="N61" i="90"/>
  <c r="K61" i="90"/>
  <c r="J61" i="90"/>
  <c r="G61" i="90"/>
  <c r="H61" i="90"/>
  <c r="I61" i="90"/>
  <c r="F61" i="90"/>
  <c r="E61" i="90"/>
  <c r="AE55" i="90"/>
  <c r="AH55" i="90"/>
  <c r="AG55" i="90"/>
  <c r="AF55" i="90"/>
  <c r="AD55" i="90"/>
  <c r="AA55" i="90"/>
  <c r="AB55" i="90"/>
  <c r="AC55" i="90"/>
  <c r="Z55" i="90"/>
  <c r="Y55" i="90"/>
  <c r="V55" i="90"/>
  <c r="W55" i="90"/>
  <c r="X55" i="90"/>
  <c r="U55" i="90"/>
  <c r="T55" i="90"/>
  <c r="Q55" i="90"/>
  <c r="R55" i="90"/>
  <c r="S55" i="90"/>
  <c r="P55" i="90"/>
  <c r="O55" i="90"/>
  <c r="L55" i="90"/>
  <c r="M55" i="90"/>
  <c r="N55" i="90"/>
  <c r="K55" i="90"/>
  <c r="J55" i="90"/>
  <c r="G55" i="90"/>
  <c r="H55" i="90"/>
  <c r="I55" i="90"/>
  <c r="F55" i="90"/>
  <c r="E55" i="90"/>
  <c r="AH45" i="90"/>
  <c r="AG45" i="90"/>
  <c r="AF45" i="90"/>
  <c r="AE45" i="90"/>
  <c r="AD45" i="90"/>
  <c r="AA45" i="90"/>
  <c r="AB45" i="90"/>
  <c r="AC45" i="90"/>
  <c r="Z45" i="90"/>
  <c r="Y45" i="90"/>
  <c r="V45" i="90"/>
  <c r="W45" i="90"/>
  <c r="X45" i="90"/>
  <c r="U45" i="90"/>
  <c r="T45" i="90"/>
  <c r="Q45" i="90"/>
  <c r="R45" i="90"/>
  <c r="S45" i="90"/>
  <c r="P45" i="90"/>
  <c r="O45" i="90"/>
  <c r="L45" i="90"/>
  <c r="M45" i="90"/>
  <c r="N45" i="90"/>
  <c r="K45" i="90"/>
  <c r="J45" i="90"/>
  <c r="G45" i="90"/>
  <c r="H45" i="90"/>
  <c r="I45" i="90"/>
  <c r="F45" i="90"/>
  <c r="E45" i="90"/>
  <c r="AH39" i="90"/>
  <c r="AG39" i="90"/>
  <c r="AF39" i="90"/>
  <c r="AE39" i="90"/>
  <c r="AD39" i="90"/>
  <c r="AA39" i="90"/>
  <c r="AB39" i="90"/>
  <c r="AC39" i="90"/>
  <c r="Z39" i="90"/>
  <c r="Y39" i="90"/>
  <c r="V39" i="90"/>
  <c r="W39" i="90"/>
  <c r="X39" i="90"/>
  <c r="U39" i="90"/>
  <c r="T39" i="90"/>
  <c r="Q39" i="90"/>
  <c r="R39" i="90"/>
  <c r="S39" i="90"/>
  <c r="P39" i="90"/>
  <c r="O39" i="90"/>
  <c r="L39" i="90"/>
  <c r="M39" i="90"/>
  <c r="N39" i="90"/>
  <c r="K39" i="90"/>
  <c r="J39" i="90"/>
  <c r="G39" i="90"/>
  <c r="H39" i="90"/>
  <c r="I39" i="90"/>
  <c r="F39" i="90"/>
  <c r="E39" i="90"/>
  <c r="AH33" i="90"/>
  <c r="AG33" i="90"/>
  <c r="AF33" i="90"/>
  <c r="AE33" i="90"/>
  <c r="AD33" i="90"/>
  <c r="AA33" i="90"/>
  <c r="AB33" i="90"/>
  <c r="AC33" i="90"/>
  <c r="Z33" i="90"/>
  <c r="Y33" i="90"/>
  <c r="V33" i="90"/>
  <c r="W33" i="90"/>
  <c r="X33" i="90"/>
  <c r="U33" i="90"/>
  <c r="AE23" i="90"/>
  <c r="AF23" i="90"/>
  <c r="AG23" i="90"/>
  <c r="AH23" i="90"/>
  <c r="AD23" i="90"/>
  <c r="AA23" i="90"/>
  <c r="AB23" i="90"/>
  <c r="AC23" i="90"/>
  <c r="Z23" i="90"/>
  <c r="Y23" i="90"/>
  <c r="V23" i="90"/>
  <c r="W23" i="90"/>
  <c r="X23" i="90"/>
  <c r="U23" i="90"/>
  <c r="T23" i="90"/>
  <c r="Q23" i="90"/>
  <c r="R23" i="90"/>
  <c r="S23" i="90"/>
  <c r="P23" i="90"/>
  <c r="O23" i="90"/>
  <c r="N23" i="90"/>
  <c r="L23" i="90"/>
  <c r="M23" i="90"/>
  <c r="K23" i="90"/>
  <c r="J23" i="90"/>
  <c r="G23" i="90"/>
  <c r="H23" i="90"/>
  <c r="I23" i="90"/>
  <c r="F23" i="90"/>
  <c r="E23" i="90"/>
  <c r="AA17" i="90" l="1"/>
  <c r="AB17" i="90"/>
  <c r="AC17" i="90"/>
  <c r="Z17" i="90"/>
  <c r="V17" i="90"/>
  <c r="W17" i="90"/>
  <c r="X17" i="90"/>
  <c r="U17" i="90"/>
  <c r="Q17" i="90"/>
  <c r="R17" i="90"/>
  <c r="S17" i="90"/>
  <c r="P17" i="90"/>
  <c r="L17" i="90"/>
  <c r="M17" i="90"/>
  <c r="N17" i="90"/>
  <c r="K17" i="90"/>
  <c r="G17" i="90"/>
  <c r="H17" i="90"/>
  <c r="I17" i="90"/>
  <c r="F17" i="90"/>
  <c r="AA11" i="90"/>
  <c r="AB11" i="90"/>
  <c r="AC11" i="90"/>
  <c r="Z11" i="90"/>
  <c r="V11" i="90"/>
  <c r="W11" i="90"/>
  <c r="X11" i="90"/>
  <c r="U11" i="90"/>
  <c r="Q11" i="90"/>
  <c r="R11" i="90"/>
  <c r="S11" i="90"/>
  <c r="P11" i="90"/>
  <c r="L11" i="90"/>
  <c r="M11" i="90"/>
  <c r="N11" i="90"/>
  <c r="K11" i="90"/>
  <c r="G11" i="90"/>
  <c r="H11" i="90"/>
  <c r="I11" i="90"/>
  <c r="F11" i="90"/>
  <c r="AH17" i="90"/>
  <c r="AG17" i="90"/>
  <c r="AF17" i="90"/>
  <c r="AE17" i="90"/>
  <c r="AD17" i="90"/>
  <c r="Y17" i="90"/>
  <c r="T17" i="90"/>
  <c r="O17" i="90"/>
  <c r="J17" i="90"/>
  <c r="E17" i="90"/>
  <c r="A27" i="90"/>
  <c r="AE11" i="90"/>
  <c r="AF11" i="90"/>
  <c r="AG11" i="90"/>
  <c r="AH11" i="90"/>
  <c r="AD11" i="90"/>
  <c r="Y11" i="90"/>
  <c r="T11" i="90"/>
  <c r="O11" i="90"/>
  <c r="J11" i="90"/>
  <c r="E11" i="90"/>
  <c r="J3" i="72" l="1" a="1"/>
  <c r="J3" i="72" s="1"/>
  <c r="B6" i="93"/>
  <c r="A29" i="94"/>
  <c r="G39" i="92"/>
  <c r="A157" i="90"/>
  <c r="AD174" i="90"/>
  <c r="T174" i="90"/>
  <c r="L174" i="90"/>
  <c r="AH168" i="90"/>
  <c r="L168" i="90"/>
  <c r="AD162" i="90"/>
  <c r="T162" i="90"/>
  <c r="O162" i="90"/>
  <c r="L162" i="90"/>
  <c r="G43" i="92"/>
  <c r="E43" i="92"/>
  <c r="P174" i="90" l="1"/>
  <c r="Q168" i="90"/>
  <c r="X168" i="90"/>
  <c r="G162" i="90"/>
  <c r="H168" i="90"/>
  <c r="AA162" i="90"/>
  <c r="AA168" i="90"/>
  <c r="AA174" i="90"/>
  <c r="J168" i="90"/>
  <c r="AE162" i="90"/>
  <c r="AF162" i="90"/>
  <c r="I168" i="90"/>
  <c r="G174" i="90"/>
  <c r="E168" i="90"/>
  <c r="S174" i="90"/>
  <c r="AG162" i="90"/>
  <c r="R162" i="90"/>
  <c r="O168" i="90"/>
  <c r="K168" i="90"/>
  <c r="Z168" i="90"/>
  <c r="AG174" i="90"/>
  <c r="R174" i="90"/>
  <c r="AH162" i="90"/>
  <c r="Q162" i="90"/>
  <c r="T168" i="90"/>
  <c r="N168" i="90"/>
  <c r="AC168" i="90"/>
  <c r="AH174" i="90"/>
  <c r="Q174" i="90"/>
  <c r="F162" i="90"/>
  <c r="U162" i="90"/>
  <c r="Y168" i="90"/>
  <c r="M168" i="90"/>
  <c r="AB168" i="90"/>
  <c r="F174" i="90"/>
  <c r="U174" i="90"/>
  <c r="W168" i="90"/>
  <c r="S162" i="90"/>
  <c r="I162" i="90"/>
  <c r="X162" i="90"/>
  <c r="AD168" i="90"/>
  <c r="I174" i="90"/>
  <c r="X174" i="90"/>
  <c r="G168" i="90"/>
  <c r="E162" i="90"/>
  <c r="H162" i="90"/>
  <c r="W162" i="90"/>
  <c r="AE168" i="90"/>
  <c r="P168" i="90"/>
  <c r="E174" i="90"/>
  <c r="H174" i="90"/>
  <c r="W174" i="90"/>
  <c r="P162" i="90"/>
  <c r="AF174" i="90"/>
  <c r="J162" i="90"/>
  <c r="V162" i="90"/>
  <c r="AF168" i="90"/>
  <c r="S168" i="90"/>
  <c r="J174" i="90"/>
  <c r="V174" i="90"/>
  <c r="V168" i="90"/>
  <c r="K162" i="90"/>
  <c r="Z162" i="90"/>
  <c r="AG168" i="90"/>
  <c r="R168" i="90"/>
  <c r="O174" i="90"/>
  <c r="K174" i="90"/>
  <c r="Z174" i="90"/>
  <c r="N162" i="90"/>
  <c r="AC162" i="90"/>
  <c r="N174" i="90"/>
  <c r="AC174" i="90"/>
  <c r="AE174" i="90"/>
  <c r="Y162" i="90"/>
  <c r="M162" i="90"/>
  <c r="AB162" i="90"/>
  <c r="F168" i="90"/>
  <c r="U168" i="90"/>
  <c r="Y174" i="90"/>
  <c r="M174" i="90"/>
  <c r="AB174" i="90"/>
  <c r="G33" i="92"/>
  <c r="D147" i="93" l="1"/>
  <c r="B124" i="93"/>
  <c r="B134" i="93"/>
  <c r="B132" i="93"/>
  <c r="B131" i="93"/>
  <c r="B130" i="93"/>
  <c r="B128" i="93"/>
  <c r="B110" i="93"/>
  <c r="B109" i="93"/>
  <c r="B108" i="93"/>
  <c r="H36" i="93"/>
  <c r="B129" i="93"/>
  <c r="C60" i="46"/>
  <c r="D60" i="46" s="1"/>
  <c r="E60" i="46" s="1"/>
  <c r="F60" i="46" s="1"/>
  <c r="G60" i="46" s="1"/>
  <c r="H60" i="46" s="1"/>
  <c r="I60" i="46" s="1"/>
  <c r="J60" i="46" s="1"/>
  <c r="K60" i="46" s="1"/>
  <c r="L60" i="46" s="1"/>
  <c r="M60" i="46" s="1"/>
  <c r="N60" i="46" s="1"/>
  <c r="O60" i="46" s="1"/>
  <c r="P60" i="46" s="1"/>
  <c r="Q60" i="46" s="1"/>
  <c r="R60" i="46" s="1"/>
  <c r="S60" i="46" s="1"/>
  <c r="T60" i="46" s="1"/>
  <c r="U60" i="46" s="1"/>
  <c r="V60" i="46" s="1"/>
  <c r="W60" i="46" s="1"/>
  <c r="X60" i="46" s="1"/>
  <c r="Y60" i="46" s="1"/>
  <c r="Z60" i="46" s="1"/>
  <c r="AA60" i="46" s="1"/>
  <c r="AB60" i="46" s="1"/>
  <c r="AC60" i="46" s="1"/>
  <c r="AD60" i="46" s="1"/>
  <c r="AE60" i="46" s="1"/>
  <c r="AF60" i="46" s="1"/>
  <c r="C47" i="46"/>
  <c r="D47" i="46" s="1"/>
  <c r="E47" i="46" s="1"/>
  <c r="F47" i="46" s="1"/>
  <c r="G47" i="46" s="1"/>
  <c r="H47" i="46" s="1"/>
  <c r="I47" i="46" s="1"/>
  <c r="J47" i="46" s="1"/>
  <c r="K47" i="46" s="1"/>
  <c r="L47" i="46" s="1"/>
  <c r="M47" i="46" s="1"/>
  <c r="N47" i="46" s="1"/>
  <c r="O47" i="46" s="1"/>
  <c r="P47" i="46" s="1"/>
  <c r="Q47" i="46" s="1"/>
  <c r="R47" i="46" s="1"/>
  <c r="S47" i="46" s="1"/>
  <c r="T47" i="46" s="1"/>
  <c r="U47" i="46" s="1"/>
  <c r="V47" i="46" s="1"/>
  <c r="W47" i="46" s="1"/>
  <c r="X47" i="46" s="1"/>
  <c r="Y47" i="46" s="1"/>
  <c r="Z47" i="46" s="1"/>
  <c r="AA47" i="46" s="1"/>
  <c r="AB47" i="46" s="1"/>
  <c r="AC47" i="46" s="1"/>
  <c r="AD47" i="46" s="1"/>
  <c r="AE47" i="46" s="1"/>
  <c r="AF47" i="46" s="1"/>
  <c r="D31" i="46"/>
  <c r="E31" i="46" s="1"/>
  <c r="F31" i="46" s="1"/>
  <c r="G31" i="46" s="1"/>
  <c r="H31" i="46" s="1"/>
  <c r="I31" i="46" s="1"/>
  <c r="J31" i="46" s="1"/>
  <c r="K31" i="46" s="1"/>
  <c r="L31" i="46" s="1"/>
  <c r="M31" i="46" s="1"/>
  <c r="N31" i="46" s="1"/>
  <c r="O31" i="46" s="1"/>
  <c r="P31" i="46" s="1"/>
  <c r="Q31" i="46" s="1"/>
  <c r="R31" i="46" s="1"/>
  <c r="S31" i="46" s="1"/>
  <c r="T31" i="46" s="1"/>
  <c r="U31" i="46" s="1"/>
  <c r="V31" i="46" s="1"/>
  <c r="W31" i="46" s="1"/>
  <c r="X31" i="46" s="1"/>
  <c r="Y31" i="46" s="1"/>
  <c r="Z31" i="46" s="1"/>
  <c r="AA31" i="46" s="1"/>
  <c r="AB31" i="46" s="1"/>
  <c r="AC31" i="46" s="1"/>
  <c r="AD31" i="46" s="1"/>
  <c r="AE31" i="46" s="1"/>
  <c r="AF31" i="46" s="1"/>
  <c r="A28" i="94" l="1"/>
  <c r="A27" i="94"/>
  <c r="B11" i="94"/>
  <c r="B14" i="94" s="1"/>
  <c r="B10" i="46"/>
  <c r="B12" i="46" s="1"/>
  <c r="C14" i="92"/>
  <c r="B133" i="93" s="1"/>
  <c r="B9" i="93" l="1"/>
  <c r="B33" i="92" s="1"/>
  <c r="B24" i="93"/>
  <c r="A115" i="90"/>
  <c r="A93" i="90"/>
  <c r="A71" i="90"/>
  <c r="A49" i="90"/>
  <c r="A5" i="90"/>
  <c r="G40" i="92"/>
  <c r="B20" i="93" l="1"/>
  <c r="B38" i="93"/>
  <c r="B10" i="93"/>
  <c r="D52" i="92"/>
  <c r="B52" i="92"/>
  <c r="B51" i="92"/>
  <c r="C20" i="93"/>
  <c r="A20" i="93"/>
  <c r="D33" i="92"/>
  <c r="AK27" i="93" l="1"/>
  <c r="Y27" i="93"/>
  <c r="AB26" i="93"/>
  <c r="AE25" i="93"/>
  <c r="Y26" i="93"/>
  <c r="X26" i="93"/>
  <c r="W26" i="93"/>
  <c r="AE27" i="93"/>
  <c r="AJ25" i="93"/>
  <c r="X25" i="93"/>
  <c r="AI25" i="93"/>
  <c r="AB27" i="93"/>
  <c r="AA27" i="93"/>
  <c r="AF25" i="93"/>
  <c r="AJ27" i="93"/>
  <c r="X27" i="93"/>
  <c r="AA26" i="93"/>
  <c r="AD25" i="93"/>
  <c r="AK26" i="93"/>
  <c r="AB25" i="93"/>
  <c r="AG27" i="93"/>
  <c r="AA25" i="93"/>
  <c r="AI26" i="93"/>
  <c r="Z25" i="93"/>
  <c r="AH26" i="93"/>
  <c r="AD27" i="93"/>
  <c r="AC27" i="93"/>
  <c r="W25" i="93"/>
  <c r="AE26" i="93"/>
  <c r="AD26" i="93"/>
  <c r="AC26" i="93"/>
  <c r="AI27" i="93"/>
  <c r="W27" i="93"/>
  <c r="Z26" i="93"/>
  <c r="AC25" i="93"/>
  <c r="AH27" i="93"/>
  <c r="AJ26" i="93"/>
  <c r="AF27" i="93"/>
  <c r="AK25" i="93"/>
  <c r="Y25" i="93"/>
  <c r="AG26" i="93"/>
  <c r="AF26" i="93"/>
  <c r="AH25" i="93"/>
  <c r="AG25" i="93"/>
  <c r="Z27" i="93"/>
  <c r="AK244" i="93"/>
  <c r="AJ244" i="93"/>
  <c r="AI244" i="93"/>
  <c r="AH244" i="93"/>
  <c r="AG244" i="93"/>
  <c r="AF244" i="93"/>
  <c r="AC244" i="93"/>
  <c r="AE244" i="93"/>
  <c r="AB244" i="93"/>
  <c r="AD244" i="93"/>
  <c r="B127" i="93"/>
  <c r="H20" i="93"/>
  <c r="C29" i="92"/>
  <c r="AE133" i="90" l="1"/>
  <c r="AF133" i="90"/>
  <c r="AG133" i="90"/>
  <c r="AH133" i="90"/>
  <c r="AD133" i="90"/>
  <c r="AA133" i="90"/>
  <c r="AB133" i="90"/>
  <c r="AC133" i="90"/>
  <c r="Z133" i="90"/>
  <c r="Y133" i="90"/>
  <c r="V133" i="90"/>
  <c r="W133" i="90"/>
  <c r="X133" i="90"/>
  <c r="U133" i="90"/>
  <c r="T133" i="90"/>
  <c r="Q133" i="90"/>
  <c r="R133" i="90"/>
  <c r="S133" i="90"/>
  <c r="P133" i="90"/>
  <c r="O133" i="90"/>
  <c r="L133" i="90"/>
  <c r="M133" i="90"/>
  <c r="N133" i="90"/>
  <c r="K133" i="90"/>
  <c r="J133" i="90"/>
  <c r="G133" i="90"/>
  <c r="H133" i="90"/>
  <c r="I133" i="90"/>
  <c r="F133" i="90"/>
  <c r="E133" i="90"/>
  <c r="AE127" i="90"/>
  <c r="AF127" i="90"/>
  <c r="AG127" i="90"/>
  <c r="AH127" i="90"/>
  <c r="AD127" i="90"/>
  <c r="AA127" i="90"/>
  <c r="AB127" i="90"/>
  <c r="AC127" i="90"/>
  <c r="Z127" i="90"/>
  <c r="Y127" i="90"/>
  <c r="V127" i="90"/>
  <c r="W127" i="90"/>
  <c r="X127" i="90"/>
  <c r="U127" i="90"/>
  <c r="T127" i="90"/>
  <c r="Q127" i="90"/>
  <c r="R127" i="90"/>
  <c r="S127" i="90"/>
  <c r="P127" i="90"/>
  <c r="O127" i="90"/>
  <c r="L127" i="90"/>
  <c r="M127" i="90"/>
  <c r="N127" i="90"/>
  <c r="K127" i="90"/>
  <c r="G127" i="90"/>
  <c r="H127" i="90"/>
  <c r="I127" i="90"/>
  <c r="J127" i="90"/>
  <c r="F127" i="90"/>
  <c r="E127" i="90"/>
  <c r="AE121" i="90"/>
  <c r="AF121" i="90"/>
  <c r="AG121" i="90"/>
  <c r="AH121" i="90"/>
  <c r="AD121" i="90"/>
  <c r="AA121" i="90"/>
  <c r="AB121" i="90"/>
  <c r="AC121" i="90"/>
  <c r="Z121" i="90"/>
  <c r="Y121" i="90"/>
  <c r="V121" i="90"/>
  <c r="W121" i="90"/>
  <c r="X121" i="90"/>
  <c r="U121" i="90"/>
  <c r="T121" i="90"/>
  <c r="Q121" i="90"/>
  <c r="R121" i="90"/>
  <c r="S121" i="90"/>
  <c r="P121" i="90"/>
  <c r="L121" i="90"/>
  <c r="M121" i="90"/>
  <c r="N121" i="90"/>
  <c r="O121" i="90"/>
  <c r="K121" i="90"/>
  <c r="G121" i="90"/>
  <c r="H121" i="90"/>
  <c r="I121" i="90"/>
  <c r="F121" i="90"/>
  <c r="J121" i="90"/>
  <c r="E121" i="90"/>
  <c r="B20" i="46"/>
  <c r="H127" i="91"/>
  <c r="AE132" i="90" s="1"/>
  <c r="G127" i="91"/>
  <c r="F127" i="91"/>
  <c r="E127" i="91"/>
  <c r="D127" i="91"/>
  <c r="C127" i="91"/>
  <c r="H122" i="91"/>
  <c r="AH110" i="90" s="1"/>
  <c r="G122" i="91"/>
  <c r="F122" i="91"/>
  <c r="E122" i="91"/>
  <c r="D122" i="91"/>
  <c r="C122" i="91"/>
  <c r="E110" i="90" s="1"/>
  <c r="H83" i="91"/>
  <c r="AE126" i="90" s="1"/>
  <c r="G83" i="91"/>
  <c r="F83" i="91"/>
  <c r="E83" i="91"/>
  <c r="D83" i="91"/>
  <c r="C83" i="91"/>
  <c r="H78" i="91"/>
  <c r="AE104" i="90" s="1"/>
  <c r="G78" i="91"/>
  <c r="Y104" i="90" s="1"/>
  <c r="F78" i="91"/>
  <c r="E78" i="91"/>
  <c r="D78" i="91"/>
  <c r="J104" i="90" s="1"/>
  <c r="C78" i="91"/>
  <c r="H39" i="91"/>
  <c r="AE120" i="90" s="1"/>
  <c r="G39" i="91"/>
  <c r="F39" i="91"/>
  <c r="E39" i="91"/>
  <c r="D39" i="91"/>
  <c r="C39" i="91"/>
  <c r="H34" i="91"/>
  <c r="AH98" i="90" s="1"/>
  <c r="G34" i="91"/>
  <c r="F34" i="91"/>
  <c r="E34" i="91"/>
  <c r="O98" i="90" s="1"/>
  <c r="D34" i="91"/>
  <c r="C34" i="91"/>
  <c r="J45" i="46" l="1" a="1"/>
  <c r="J45" i="46" s="1"/>
  <c r="O26" i="93" s="1"/>
  <c r="D45" i="46" a="1"/>
  <c r="D45" i="46" s="1"/>
  <c r="I26" i="93" s="1"/>
  <c r="L45" i="46" a="1"/>
  <c r="L45" i="46" s="1"/>
  <c r="Q26" i="93" s="1"/>
  <c r="AA45" i="46" a="1"/>
  <c r="AA45" i="46" s="1"/>
  <c r="T29" i="46" a="1"/>
  <c r="T29" i="46" s="1"/>
  <c r="AA29" i="46" a="1"/>
  <c r="AA29" i="46" s="1"/>
  <c r="E45" i="46" a="1"/>
  <c r="E45" i="46" s="1"/>
  <c r="J26" i="93" s="1"/>
  <c r="U29" i="46" a="1"/>
  <c r="U29" i="46" s="1"/>
  <c r="U45" i="46" a="1"/>
  <c r="U45" i="46" s="1"/>
  <c r="AC45" i="46" a="1"/>
  <c r="AC45" i="46" s="1"/>
  <c r="AC29" i="46" a="1"/>
  <c r="AC29" i="46" s="1"/>
  <c r="F45" i="46" a="1"/>
  <c r="F45" i="46" s="1"/>
  <c r="K26" i="93" s="1"/>
  <c r="G45" i="46" a="1"/>
  <c r="G45" i="46" s="1"/>
  <c r="L26" i="93" s="1"/>
  <c r="O45" i="46" a="1"/>
  <c r="O45" i="46" s="1"/>
  <c r="T26" i="93" s="1"/>
  <c r="AD29" i="46" a="1"/>
  <c r="AD29" i="46" s="1"/>
  <c r="Z29" i="46" a="1"/>
  <c r="Z29" i="46" s="1"/>
  <c r="C45" i="46" a="1"/>
  <c r="C45" i="46" s="1"/>
  <c r="H26" i="93" s="1"/>
  <c r="S45" i="46" a="1"/>
  <c r="S45" i="46" s="1"/>
  <c r="M45" i="46" a="1"/>
  <c r="M45" i="46" s="1"/>
  <c r="R26" i="93" s="1"/>
  <c r="T45" i="46" a="1"/>
  <c r="T45" i="46" s="1"/>
  <c r="AB45" i="46" a="1"/>
  <c r="AB45" i="46" s="1"/>
  <c r="AB29" i="46" a="1"/>
  <c r="AB29" i="46" s="1"/>
  <c r="N45" i="46" a="1"/>
  <c r="N45" i="46" s="1"/>
  <c r="S26" i="93" s="1"/>
  <c r="V45" i="46" a="1"/>
  <c r="V45" i="46" s="1"/>
  <c r="V29" i="46" a="1"/>
  <c r="V29" i="46" s="1"/>
  <c r="AD45" i="46" a="1"/>
  <c r="AD45" i="46" s="1"/>
  <c r="S29" i="46" a="1"/>
  <c r="S29" i="46" s="1"/>
  <c r="P45" i="46" a="1"/>
  <c r="P45" i="46" s="1"/>
  <c r="U26" i="93" s="1"/>
  <c r="W45" i="46" a="1"/>
  <c r="W45" i="46" s="1"/>
  <c r="AE45" i="46" a="1"/>
  <c r="AE45" i="46" s="1"/>
  <c r="W29" i="46" a="1"/>
  <c r="W29" i="46" s="1"/>
  <c r="AE29" i="46" a="1"/>
  <c r="AE29" i="46" s="1"/>
  <c r="H45" i="46" a="1"/>
  <c r="H45" i="46" s="1"/>
  <c r="M26" i="93" s="1"/>
  <c r="X29" i="46" a="1"/>
  <c r="X29" i="46" s="1"/>
  <c r="AF29" i="46" a="1"/>
  <c r="AF29" i="46" s="1"/>
  <c r="Q45" i="46" a="1"/>
  <c r="Q45" i="46" s="1"/>
  <c r="V26" i="93" s="1"/>
  <c r="X45" i="46" a="1"/>
  <c r="X45" i="46" s="1"/>
  <c r="AF45" i="46" a="1"/>
  <c r="AF45" i="46" s="1"/>
  <c r="Y29" i="46" a="1"/>
  <c r="Y29" i="46" s="1"/>
  <c r="I45" i="46" a="1"/>
  <c r="I45" i="46" s="1"/>
  <c r="N26" i="93" s="1"/>
  <c r="Y45" i="46" a="1"/>
  <c r="Y45" i="46" s="1"/>
  <c r="R45" i="46" a="1"/>
  <c r="R45" i="46" s="1"/>
  <c r="K45" i="46" a="1"/>
  <c r="K45" i="46" s="1"/>
  <c r="P26" i="93" s="1"/>
  <c r="Z45" i="46" a="1"/>
  <c r="Z45" i="46" s="1"/>
  <c r="C43" i="46" a="1"/>
  <c r="C43" i="46" s="1"/>
  <c r="D43" i="46" a="1"/>
  <c r="D43" i="46" s="1"/>
  <c r="E43" i="46" a="1"/>
  <c r="E43" i="46" s="1"/>
  <c r="A27" i="46"/>
  <c r="A56" i="46"/>
  <c r="A43" i="46"/>
  <c r="C27" i="46" a="1"/>
  <c r="C27" i="46" s="1"/>
  <c r="E27" i="46" a="1"/>
  <c r="E27" i="46" s="1"/>
  <c r="D27" i="46" a="1"/>
  <c r="D27" i="46" s="1"/>
  <c r="AA58" i="46" a="1"/>
  <c r="AA58" i="46" s="1"/>
  <c r="I29" i="46" a="1"/>
  <c r="I29" i="46" s="1"/>
  <c r="N25" i="93" s="1"/>
  <c r="H29" i="46" a="1"/>
  <c r="H29" i="46" s="1"/>
  <c r="M25" i="93" s="1"/>
  <c r="AC58" i="46" a="1"/>
  <c r="AC58" i="46" s="1"/>
  <c r="C29" i="46" a="1"/>
  <c r="C29" i="46" s="1"/>
  <c r="H25" i="93" s="1"/>
  <c r="P58" i="46" a="1"/>
  <c r="P58" i="46" s="1"/>
  <c r="U27" i="93" s="1"/>
  <c r="K29" i="46" a="1"/>
  <c r="K29" i="46" s="1"/>
  <c r="P25" i="93" s="1"/>
  <c r="L58" i="46" a="1"/>
  <c r="L58" i="46" s="1"/>
  <c r="Q27" i="93" s="1"/>
  <c r="S58" i="46" a="1"/>
  <c r="S58" i="46" s="1"/>
  <c r="D56" i="46" a="1"/>
  <c r="D56" i="46" s="1"/>
  <c r="X58" i="46" a="1"/>
  <c r="X58" i="46" s="1"/>
  <c r="M29" i="46" a="1"/>
  <c r="M29" i="46" s="1"/>
  <c r="R25" i="93" s="1"/>
  <c r="W58" i="46" a="1"/>
  <c r="W58" i="46" s="1"/>
  <c r="D29" i="46" a="1"/>
  <c r="D29" i="46" s="1"/>
  <c r="I25" i="93" s="1"/>
  <c r="G29" i="46" a="1"/>
  <c r="G29" i="46" s="1"/>
  <c r="L25" i="93" s="1"/>
  <c r="J58" i="46" a="1"/>
  <c r="J58" i="46" s="1"/>
  <c r="O27" i="93" s="1"/>
  <c r="V58" i="46" a="1"/>
  <c r="V58" i="46" s="1"/>
  <c r="H58" i="46" a="1"/>
  <c r="H58" i="46" s="1"/>
  <c r="M27" i="93" s="1"/>
  <c r="Q29" i="46" a="1"/>
  <c r="Q29" i="46" s="1"/>
  <c r="V25" i="93" s="1"/>
  <c r="Q58" i="46" a="1"/>
  <c r="Q58" i="46" s="1"/>
  <c r="V27" i="93" s="1"/>
  <c r="E29" i="46" a="1"/>
  <c r="E29" i="46" s="1"/>
  <c r="J25" i="93" s="1"/>
  <c r="F58" i="46" a="1"/>
  <c r="F58" i="46" s="1"/>
  <c r="K27" i="93" s="1"/>
  <c r="C56" i="46" a="1"/>
  <c r="C56" i="46" s="1"/>
  <c r="AE58" i="46" a="1"/>
  <c r="AE58" i="46" s="1"/>
  <c r="I58" i="46" a="1"/>
  <c r="I58" i="46" s="1"/>
  <c r="N27" i="93" s="1"/>
  <c r="L29" i="46" a="1"/>
  <c r="L29" i="46" s="1"/>
  <c r="Q25" i="93" s="1"/>
  <c r="AD58" i="46" a="1"/>
  <c r="AD58" i="46" s="1"/>
  <c r="O58" i="46" a="1"/>
  <c r="O58" i="46" s="1"/>
  <c r="T27" i="93" s="1"/>
  <c r="N58" i="46" a="1"/>
  <c r="N58" i="46" s="1"/>
  <c r="S27" i="93" s="1"/>
  <c r="J29" i="46" a="1"/>
  <c r="J29" i="46" s="1"/>
  <c r="O25" i="93" s="1"/>
  <c r="P29" i="46" a="1"/>
  <c r="P29" i="46" s="1"/>
  <c r="U25" i="93" s="1"/>
  <c r="R29" i="46" a="1"/>
  <c r="R29" i="46" s="1"/>
  <c r="O29" i="46" a="1"/>
  <c r="O29" i="46" s="1"/>
  <c r="T25" i="93" s="1"/>
  <c r="F29" i="46" a="1"/>
  <c r="F29" i="46" s="1"/>
  <c r="K25" i="93" s="1"/>
  <c r="D58" i="46" a="1"/>
  <c r="D58" i="46" s="1"/>
  <c r="I27" i="93" s="1"/>
  <c r="R58" i="46" a="1"/>
  <c r="R58" i="46" s="1"/>
  <c r="U58" i="46" a="1"/>
  <c r="U58" i="46" s="1"/>
  <c r="T58" i="46" a="1"/>
  <c r="T58" i="46" s="1"/>
  <c r="G58" i="46" a="1"/>
  <c r="G58" i="46" s="1"/>
  <c r="L27" i="93" s="1"/>
  <c r="Y58" i="46" a="1"/>
  <c r="Y58" i="46" s="1"/>
  <c r="C58" i="46" a="1"/>
  <c r="C58" i="46" s="1"/>
  <c r="H27" i="93" s="1"/>
  <c r="AF58" i="46" a="1"/>
  <c r="AF58" i="46" s="1"/>
  <c r="N29" i="46" a="1"/>
  <c r="N29" i="46" s="1"/>
  <c r="S25" i="93" s="1"/>
  <c r="M58" i="46" a="1"/>
  <c r="M58" i="46" s="1"/>
  <c r="R27" i="93" s="1"/>
  <c r="Z58" i="46" a="1"/>
  <c r="Z58" i="46" s="1"/>
  <c r="E56" i="46" a="1"/>
  <c r="E56" i="46" s="1"/>
  <c r="AB58" i="46" a="1"/>
  <c r="AB58" i="46" s="1"/>
  <c r="K58" i="46" a="1"/>
  <c r="K58" i="46" s="1"/>
  <c r="P27" i="93" s="1"/>
  <c r="E58" i="46" a="1"/>
  <c r="E58" i="46" s="1"/>
  <c r="J27" i="93" s="1"/>
  <c r="X132" i="90"/>
  <c r="M120" i="90"/>
  <c r="U126" i="90"/>
  <c r="AB110" i="90"/>
  <c r="Q104" i="90"/>
  <c r="M132" i="90"/>
  <c r="Z120" i="90"/>
  <c r="P110" i="90"/>
  <c r="AB98" i="90"/>
  <c r="I126" i="90"/>
  <c r="G132" i="90"/>
  <c r="AG126" i="90"/>
  <c r="R98" i="90"/>
  <c r="Q110" i="90"/>
  <c r="AB126" i="90"/>
  <c r="AF126" i="90"/>
  <c r="G120" i="90"/>
  <c r="L126" i="90"/>
  <c r="Q120" i="90"/>
  <c r="P126" i="90"/>
  <c r="Q132" i="90"/>
  <c r="L110" i="90"/>
  <c r="I110" i="90"/>
  <c r="Z126" i="90"/>
  <c r="Z132" i="90"/>
  <c r="AA120" i="90"/>
  <c r="T132" i="90"/>
  <c r="K132" i="90"/>
  <c r="K126" i="90"/>
  <c r="U132" i="90"/>
  <c r="AD132" i="90"/>
  <c r="X120" i="90"/>
  <c r="V126" i="90"/>
  <c r="AA132" i="90"/>
  <c r="F110" i="90"/>
  <c r="E126" i="90"/>
  <c r="F132" i="90"/>
  <c r="P132" i="90"/>
  <c r="Y132" i="90"/>
  <c r="Q98" i="90"/>
  <c r="Y120" i="90"/>
  <c r="AA98" i="90"/>
  <c r="AG98" i="90"/>
  <c r="H110" i="90"/>
  <c r="AC120" i="90"/>
  <c r="L132" i="90"/>
  <c r="AF98" i="90"/>
  <c r="G110" i="90"/>
  <c r="H126" i="90"/>
  <c r="O132" i="90"/>
  <c r="K104" i="90"/>
  <c r="T110" i="90"/>
  <c r="S126" i="90"/>
  <c r="W132" i="90"/>
  <c r="N104" i="90"/>
  <c r="AA110" i="90"/>
  <c r="R126" i="90"/>
  <c r="V132" i="90"/>
  <c r="M104" i="90"/>
  <c r="AG110" i="90"/>
  <c r="Q126" i="90"/>
  <c r="G98" i="90"/>
  <c r="G104" i="90"/>
  <c r="E98" i="90"/>
  <c r="L104" i="90"/>
  <c r="AF110" i="90"/>
  <c r="T126" i="90"/>
  <c r="L98" i="90"/>
  <c r="J98" i="90"/>
  <c r="O104" i="90"/>
  <c r="L120" i="90"/>
  <c r="AC132" i="90"/>
  <c r="F98" i="90"/>
  <c r="Z104" i="90"/>
  <c r="O120" i="90"/>
  <c r="AA126" i="90"/>
  <c r="V104" i="90"/>
  <c r="I98" i="90"/>
  <c r="AC104" i="90"/>
  <c r="W120" i="90"/>
  <c r="AD126" i="90"/>
  <c r="H98" i="90"/>
  <c r="V120" i="90"/>
  <c r="AH126" i="90"/>
  <c r="U98" i="90"/>
  <c r="U110" i="90"/>
  <c r="G126" i="90"/>
  <c r="X98" i="90"/>
  <c r="AE98" i="90"/>
  <c r="P104" i="90"/>
  <c r="AB104" i="90"/>
  <c r="J110" i="90"/>
  <c r="X110" i="90"/>
  <c r="AE110" i="90"/>
  <c r="P120" i="90"/>
  <c r="AB120" i="90"/>
  <c r="J126" i="90"/>
  <c r="X126" i="90"/>
  <c r="AB132" i="90"/>
  <c r="K98" i="90"/>
  <c r="W98" i="90"/>
  <c r="E104" i="90"/>
  <c r="S104" i="90"/>
  <c r="AA104" i="90"/>
  <c r="K110" i="90"/>
  <c r="W110" i="90"/>
  <c r="E120" i="90"/>
  <c r="S120" i="90"/>
  <c r="W126" i="90"/>
  <c r="E132" i="90"/>
  <c r="S132" i="90"/>
  <c r="V98" i="90"/>
  <c r="F104" i="90"/>
  <c r="R104" i="90"/>
  <c r="AD104" i="90"/>
  <c r="N110" i="90"/>
  <c r="V110" i="90"/>
  <c r="F120" i="90"/>
  <c r="R120" i="90"/>
  <c r="AD120" i="90"/>
  <c r="N126" i="90"/>
  <c r="R132" i="90"/>
  <c r="N98" i="90"/>
  <c r="Y98" i="90"/>
  <c r="I104" i="90"/>
  <c r="AH104" i="90"/>
  <c r="M110" i="90"/>
  <c r="Y110" i="90"/>
  <c r="I120" i="90"/>
  <c r="AH120" i="90"/>
  <c r="M126" i="90"/>
  <c r="Y126" i="90"/>
  <c r="I132" i="90"/>
  <c r="AH132" i="90"/>
  <c r="M98" i="90"/>
  <c r="Z98" i="90"/>
  <c r="H104" i="90"/>
  <c r="T104" i="90"/>
  <c r="AG104" i="90"/>
  <c r="Z110" i="90"/>
  <c r="H120" i="90"/>
  <c r="T120" i="90"/>
  <c r="AG120" i="90"/>
  <c r="H132" i="90"/>
  <c r="AG132" i="90"/>
  <c r="AC98" i="90"/>
  <c r="U104" i="90"/>
  <c r="AF104" i="90"/>
  <c r="O110" i="90"/>
  <c r="AC110" i="90"/>
  <c r="U120" i="90"/>
  <c r="AF120" i="90"/>
  <c r="O126" i="90"/>
  <c r="AC126" i="90"/>
  <c r="AF132" i="90"/>
  <c r="T98" i="90"/>
  <c r="X104" i="90"/>
  <c r="J120" i="90"/>
  <c r="J132" i="90"/>
  <c r="P98" i="90"/>
  <c r="W104" i="90"/>
  <c r="S110" i="90"/>
  <c r="K120" i="90"/>
  <c r="S98" i="90"/>
  <c r="AD98" i="90"/>
  <c r="R110" i="90"/>
  <c r="AD110" i="90"/>
  <c r="N120" i="90"/>
  <c r="F126" i="90"/>
  <c r="N132" i="90"/>
  <c r="B19" i="93" l="1"/>
  <c r="B22" i="93" s="1"/>
  <c r="B8" i="93"/>
  <c r="B7" i="93"/>
  <c r="B39" i="92"/>
  <c r="B31" i="92"/>
  <c r="H28" i="93" l="1"/>
  <c r="A105" i="93"/>
  <c r="A99" i="93"/>
  <c r="A102" i="93"/>
  <c r="B119" i="93"/>
  <c r="B118" i="93"/>
  <c r="B117" i="93"/>
  <c r="G122" i="93" l="1"/>
  <c r="B123" i="93" s="1"/>
  <c r="H22" i="93"/>
  <c r="F34" i="93"/>
  <c r="H159" i="93" s="1"/>
  <c r="G32" i="92"/>
  <c r="G34" i="92"/>
  <c r="E34" i="92"/>
  <c r="E31" i="92"/>
  <c r="AG110" i="93"/>
  <c r="AA109" i="93"/>
  <c r="AK108" i="93"/>
  <c r="AA36" i="93"/>
  <c r="AK313" i="93"/>
  <c r="AJ313" i="93"/>
  <c r="AI313" i="93"/>
  <c r="AH313" i="93"/>
  <c r="AG313" i="93"/>
  <c r="AF313" i="93"/>
  <c r="AE313" i="93"/>
  <c r="AD313" i="93"/>
  <c r="AC313" i="93"/>
  <c r="AB313" i="93"/>
  <c r="AA313" i="93"/>
  <c r="Z313" i="93"/>
  <c r="Y313" i="93"/>
  <c r="X313" i="93"/>
  <c r="W313" i="93"/>
  <c r="V313" i="93"/>
  <c r="U313" i="93"/>
  <c r="T313" i="93"/>
  <c r="S313" i="93"/>
  <c r="R313" i="93"/>
  <c r="Q313" i="93"/>
  <c r="P313" i="93"/>
  <c r="O313" i="93"/>
  <c r="N313" i="93"/>
  <c r="M313" i="93"/>
  <c r="L313" i="93"/>
  <c r="K313" i="93"/>
  <c r="J313" i="93"/>
  <c r="I313" i="93"/>
  <c r="H313" i="93"/>
  <c r="G313" i="93"/>
  <c r="F313" i="93"/>
  <c r="E313" i="93"/>
  <c r="D313" i="93"/>
  <c r="AK255" i="93"/>
  <c r="AJ255" i="93"/>
  <c r="AI255" i="93"/>
  <c r="AH255" i="93"/>
  <c r="AG255" i="93"/>
  <c r="AF255" i="93"/>
  <c r="AE255" i="93"/>
  <c r="AD255" i="93"/>
  <c r="AC255" i="93"/>
  <c r="AB255" i="93"/>
  <c r="AA255" i="93"/>
  <c r="Z255" i="93"/>
  <c r="Y255" i="93"/>
  <c r="X255" i="93"/>
  <c r="W255" i="93"/>
  <c r="V255" i="93"/>
  <c r="U255" i="93"/>
  <c r="T255" i="93"/>
  <c r="S255" i="93"/>
  <c r="R255" i="93"/>
  <c r="G252" i="93"/>
  <c r="F252" i="93"/>
  <c r="E252" i="93"/>
  <c r="D252" i="93"/>
  <c r="E243" i="93"/>
  <c r="E246" i="93" s="1"/>
  <c r="D243" i="93"/>
  <c r="D246" i="93" s="1"/>
  <c r="AK239" i="93"/>
  <c r="AJ239" i="93"/>
  <c r="AI239" i="93"/>
  <c r="AH239" i="93"/>
  <c r="AG239" i="93"/>
  <c r="AF239" i="93"/>
  <c r="AE239" i="93"/>
  <c r="AD239" i="93"/>
  <c r="AC239" i="93"/>
  <c r="AB239" i="93"/>
  <c r="AA239" i="93"/>
  <c r="Z239" i="93"/>
  <c r="Y239" i="93"/>
  <c r="X239" i="93"/>
  <c r="W239" i="93"/>
  <c r="V239" i="93"/>
  <c r="U239" i="93"/>
  <c r="T239" i="93"/>
  <c r="S239" i="93"/>
  <c r="R239" i="93"/>
  <c r="Q239" i="93"/>
  <c r="P239" i="93"/>
  <c r="O239" i="93"/>
  <c r="N239" i="93"/>
  <c r="M239" i="93"/>
  <c r="L239" i="93"/>
  <c r="K239" i="93"/>
  <c r="J239" i="93"/>
  <c r="I239" i="93"/>
  <c r="H239" i="93"/>
  <c r="G239" i="93"/>
  <c r="F239" i="93"/>
  <c r="E239" i="93"/>
  <c r="D239" i="93"/>
  <c r="AK223" i="93"/>
  <c r="AJ223" i="93"/>
  <c r="AI223" i="93"/>
  <c r="AH223" i="93"/>
  <c r="AG223" i="93"/>
  <c r="AF223" i="93"/>
  <c r="AE223" i="93"/>
  <c r="AD223" i="93"/>
  <c r="AC223" i="93"/>
  <c r="AB223" i="93"/>
  <c r="AA223" i="93"/>
  <c r="Z223" i="93"/>
  <c r="Y223" i="93"/>
  <c r="X223" i="93"/>
  <c r="W223" i="93"/>
  <c r="V223" i="93"/>
  <c r="U223" i="93"/>
  <c r="T223" i="93"/>
  <c r="S223" i="93"/>
  <c r="R223" i="93"/>
  <c r="G220" i="93"/>
  <c r="F220" i="93"/>
  <c r="E220" i="93"/>
  <c r="D220" i="93"/>
  <c r="E211" i="93"/>
  <c r="E214" i="93" s="1"/>
  <c r="D211" i="93"/>
  <c r="D214" i="93" s="1"/>
  <c r="AK207" i="93"/>
  <c r="AJ207" i="93"/>
  <c r="AI207" i="93"/>
  <c r="AH207" i="93"/>
  <c r="AG207" i="93"/>
  <c r="AF207" i="93"/>
  <c r="AE207" i="93"/>
  <c r="AD207" i="93"/>
  <c r="AC207" i="93"/>
  <c r="AB207" i="93"/>
  <c r="AA207" i="93"/>
  <c r="Z207" i="93"/>
  <c r="Y207" i="93"/>
  <c r="X207" i="93"/>
  <c r="W207" i="93"/>
  <c r="V207" i="93"/>
  <c r="U207" i="93"/>
  <c r="T207" i="93"/>
  <c r="S207" i="93"/>
  <c r="R207" i="93"/>
  <c r="Q207" i="93"/>
  <c r="P207" i="93"/>
  <c r="O207" i="93"/>
  <c r="N207" i="93"/>
  <c r="M207" i="93"/>
  <c r="L207" i="93"/>
  <c r="K207" i="93"/>
  <c r="J207" i="93"/>
  <c r="I207" i="93"/>
  <c r="H207" i="93"/>
  <c r="G207" i="93"/>
  <c r="F207" i="93"/>
  <c r="E207" i="93"/>
  <c r="D207" i="93"/>
  <c r="AK159" i="93"/>
  <c r="AJ159" i="93"/>
  <c r="AI159" i="93"/>
  <c r="AH159" i="93"/>
  <c r="AG159" i="93"/>
  <c r="AF159" i="93"/>
  <c r="AE159" i="93"/>
  <c r="AD159" i="93"/>
  <c r="AC159" i="93"/>
  <c r="AB159" i="93"/>
  <c r="AA159" i="93"/>
  <c r="Z159" i="93"/>
  <c r="Y159" i="93"/>
  <c r="X159" i="93"/>
  <c r="W159" i="93"/>
  <c r="V159" i="93"/>
  <c r="U159" i="93"/>
  <c r="T159" i="93"/>
  <c r="S159" i="93"/>
  <c r="R159" i="93"/>
  <c r="G156" i="93"/>
  <c r="F156" i="93"/>
  <c r="E156" i="93"/>
  <c r="D156" i="93"/>
  <c r="E147" i="93"/>
  <c r="E150" i="93" s="1"/>
  <c r="D150" i="93"/>
  <c r="AK143" i="93"/>
  <c r="AJ143" i="93"/>
  <c r="AI143" i="93"/>
  <c r="AH143" i="93"/>
  <c r="AG143" i="93"/>
  <c r="AF143" i="93"/>
  <c r="AE143" i="93"/>
  <c r="AD143" i="93"/>
  <c r="AC143" i="93"/>
  <c r="AB143" i="93"/>
  <c r="AA143" i="93"/>
  <c r="Z143" i="93"/>
  <c r="Y143" i="93"/>
  <c r="X143" i="93"/>
  <c r="W143" i="93"/>
  <c r="V143" i="93"/>
  <c r="U143" i="93"/>
  <c r="T143" i="93"/>
  <c r="S143" i="93"/>
  <c r="R143" i="93"/>
  <c r="Q143" i="93"/>
  <c r="P143" i="93"/>
  <c r="O143" i="93"/>
  <c r="N143" i="93"/>
  <c r="M143" i="93"/>
  <c r="L143" i="93"/>
  <c r="K143" i="93"/>
  <c r="J143" i="93"/>
  <c r="I143" i="93"/>
  <c r="H143" i="93"/>
  <c r="G143" i="93"/>
  <c r="F143" i="93"/>
  <c r="E143" i="93"/>
  <c r="D143" i="93"/>
  <c r="B54" i="93" l="1"/>
  <c r="H223" i="93"/>
  <c r="B47" i="93"/>
  <c r="B40" i="93"/>
  <c r="F211" i="93"/>
  <c r="E165" i="93"/>
  <c r="E229" i="93"/>
  <c r="E262" i="93" s="1"/>
  <c r="E261" i="93"/>
  <c r="D165" i="93"/>
  <c r="D229" i="93"/>
  <c r="D262" i="93" s="1"/>
  <c r="D261" i="93"/>
  <c r="D109" i="93"/>
  <c r="T109" i="93"/>
  <c r="F109" i="93"/>
  <c r="AF109" i="93"/>
  <c r="H109" i="93"/>
  <c r="Q109" i="93"/>
  <c r="AB109" i="93"/>
  <c r="AD109" i="93"/>
  <c r="J108" i="93"/>
  <c r="Z108" i="93"/>
  <c r="V108" i="93"/>
  <c r="J110" i="93"/>
  <c r="K110" i="93"/>
  <c r="L110" i="93"/>
  <c r="M110" i="93"/>
  <c r="AK110" i="93"/>
  <c r="O108" i="93"/>
  <c r="N108" i="93"/>
  <c r="P109" i="93"/>
  <c r="P108" i="93"/>
  <c r="R109" i="93"/>
  <c r="Q108" i="93"/>
  <c r="S109" i="93"/>
  <c r="AB108" i="93"/>
  <c r="AC109" i="93"/>
  <c r="E109" i="93"/>
  <c r="AE109" i="93"/>
  <c r="G109" i="93"/>
  <c r="V110" i="93"/>
  <c r="W110" i="93"/>
  <c r="X110" i="93"/>
  <c r="AA108" i="93"/>
  <c r="Y110" i="93"/>
  <c r="AH110" i="93"/>
  <c r="AC108" i="93"/>
  <c r="AI110" i="93"/>
  <c r="AH108" i="93"/>
  <c r="AJ110" i="93"/>
  <c r="N110" i="93"/>
  <c r="Z110" i="93"/>
  <c r="O110" i="93"/>
  <c r="AA110" i="93"/>
  <c r="D110" i="93"/>
  <c r="P110" i="93"/>
  <c r="AB110" i="93"/>
  <c r="E110" i="93"/>
  <c r="Q110" i="93"/>
  <c r="AC110" i="93"/>
  <c r="F110" i="93"/>
  <c r="R110" i="93"/>
  <c r="AD110" i="93"/>
  <c r="G110" i="93"/>
  <c r="S110" i="93"/>
  <c r="AE110" i="93"/>
  <c r="H110" i="93"/>
  <c r="T110" i="93"/>
  <c r="AF110" i="93"/>
  <c r="I110" i="93"/>
  <c r="U110" i="93"/>
  <c r="I109" i="93"/>
  <c r="U109" i="93"/>
  <c r="AG109" i="93"/>
  <c r="J109" i="93"/>
  <c r="V109" i="93"/>
  <c r="AH109" i="93"/>
  <c r="K109" i="93"/>
  <c r="W109" i="93"/>
  <c r="AI109" i="93"/>
  <c r="L109" i="93"/>
  <c r="X109" i="93"/>
  <c r="AJ109" i="93"/>
  <c r="M109" i="93"/>
  <c r="Y109" i="93"/>
  <c r="AK109" i="93"/>
  <c r="N109" i="93"/>
  <c r="Z109" i="93"/>
  <c r="O109" i="93"/>
  <c r="R108" i="93"/>
  <c r="AD108" i="93"/>
  <c r="S108" i="93"/>
  <c r="AE108" i="93"/>
  <c r="H108" i="93"/>
  <c r="T108" i="93"/>
  <c r="AF108" i="93"/>
  <c r="I108" i="93"/>
  <c r="U108" i="93"/>
  <c r="AG108" i="93"/>
  <c r="K108" i="93"/>
  <c r="W108" i="93"/>
  <c r="AI108" i="93"/>
  <c r="L108" i="93"/>
  <c r="X108" i="93"/>
  <c r="AJ108" i="93"/>
  <c r="M108" i="93"/>
  <c r="Y108" i="93"/>
  <c r="AB36" i="93"/>
  <c r="AE36" i="93"/>
  <c r="AD36" i="93"/>
  <c r="AC36" i="93"/>
  <c r="P36" i="93"/>
  <c r="Q36" i="93"/>
  <c r="R36" i="93"/>
  <c r="S36" i="93"/>
  <c r="K36" i="93"/>
  <c r="W36" i="93"/>
  <c r="AI36" i="93"/>
  <c r="L36" i="93"/>
  <c r="X36" i="93"/>
  <c r="AJ36" i="93"/>
  <c r="AK36" i="93"/>
  <c r="T36" i="93"/>
  <c r="AF36" i="93"/>
  <c r="I36" i="93"/>
  <c r="U36" i="93"/>
  <c r="AG36" i="93"/>
  <c r="J36" i="93"/>
  <c r="V36" i="93"/>
  <c r="AH36" i="93"/>
  <c r="M36" i="93"/>
  <c r="Y36" i="93"/>
  <c r="N36" i="93"/>
  <c r="Z36" i="93"/>
  <c r="O36" i="93"/>
  <c r="G243" i="93"/>
  <c r="G246" i="93" s="1"/>
  <c r="G261" i="93" s="1"/>
  <c r="B116" i="93"/>
  <c r="H117" i="91"/>
  <c r="G117" i="91"/>
  <c r="F117" i="91"/>
  <c r="E117" i="91"/>
  <c r="D117" i="91"/>
  <c r="C117" i="91"/>
  <c r="H112" i="91"/>
  <c r="G112" i="91"/>
  <c r="F112" i="91"/>
  <c r="E112" i="91"/>
  <c r="D112" i="91"/>
  <c r="C112" i="91"/>
  <c r="H107" i="91"/>
  <c r="G107" i="91"/>
  <c r="F107" i="91"/>
  <c r="E107" i="91"/>
  <c r="D107" i="91"/>
  <c r="C107" i="91"/>
  <c r="H102" i="91"/>
  <c r="G102" i="91"/>
  <c r="F102" i="91"/>
  <c r="E102" i="91"/>
  <c r="D102" i="91"/>
  <c r="C102" i="91"/>
  <c r="D98" i="91"/>
  <c r="C98" i="91"/>
  <c r="C94" i="91"/>
  <c r="K20" i="90" s="1"/>
  <c r="H73" i="91"/>
  <c r="G73" i="91"/>
  <c r="F73" i="91"/>
  <c r="E73" i="91"/>
  <c r="D73" i="91"/>
  <c r="C73" i="91"/>
  <c r="H68" i="91"/>
  <c r="G68" i="91"/>
  <c r="F68" i="91"/>
  <c r="E68" i="91"/>
  <c r="D68" i="91"/>
  <c r="C68" i="91"/>
  <c r="H63" i="91"/>
  <c r="G63" i="91"/>
  <c r="F63" i="91"/>
  <c r="E63" i="91"/>
  <c r="D63" i="91"/>
  <c r="C63" i="91"/>
  <c r="H58" i="91"/>
  <c r="G58" i="91"/>
  <c r="F58" i="91"/>
  <c r="E58" i="91"/>
  <c r="D58" i="91"/>
  <c r="C58" i="91"/>
  <c r="F54" i="91"/>
  <c r="E54" i="91"/>
  <c r="D54" i="91"/>
  <c r="C54" i="91"/>
  <c r="C50" i="91"/>
  <c r="H29" i="91"/>
  <c r="G29" i="91"/>
  <c r="F29" i="91"/>
  <c r="E29" i="91"/>
  <c r="D29" i="91"/>
  <c r="C29" i="91"/>
  <c r="H24" i="91"/>
  <c r="G24" i="91"/>
  <c r="F24" i="91"/>
  <c r="E24" i="91"/>
  <c r="D24" i="91"/>
  <c r="C24" i="91"/>
  <c r="H19" i="91"/>
  <c r="G19" i="91"/>
  <c r="F19" i="91"/>
  <c r="E19" i="91"/>
  <c r="D19" i="91"/>
  <c r="C19" i="91"/>
  <c r="H14" i="91"/>
  <c r="G14" i="91"/>
  <c r="F14" i="91"/>
  <c r="U10" i="90" s="1"/>
  <c r="E14" i="91"/>
  <c r="D14" i="91"/>
  <c r="C14" i="91"/>
  <c r="I10" i="90" s="1"/>
  <c r="D10" i="91"/>
  <c r="C10" i="91"/>
  <c r="C6" i="91"/>
  <c r="I22" i="90" l="1"/>
  <c r="E22" i="90"/>
  <c r="F22" i="90"/>
  <c r="G22" i="90"/>
  <c r="H22" i="90"/>
  <c r="AB22" i="90"/>
  <c r="Y22" i="90"/>
  <c r="AC22" i="90"/>
  <c r="Z22" i="90"/>
  <c r="AA22" i="90"/>
  <c r="AG22" i="90"/>
  <c r="AF22" i="90"/>
  <c r="AD22" i="90"/>
  <c r="AH22" i="90"/>
  <c r="AE22" i="90"/>
  <c r="L22" i="90"/>
  <c r="M22" i="90"/>
  <c r="N22" i="90"/>
  <c r="K22" i="90"/>
  <c r="J22" i="90"/>
  <c r="Q22" i="90"/>
  <c r="R22" i="90"/>
  <c r="P22" i="90"/>
  <c r="S22" i="90"/>
  <c r="O22" i="90"/>
  <c r="W22" i="90"/>
  <c r="X22" i="90"/>
  <c r="U22" i="90"/>
  <c r="T22" i="90"/>
  <c r="V22" i="90"/>
  <c r="S16" i="90"/>
  <c r="O16" i="90"/>
  <c r="Q16" i="90"/>
  <c r="R16" i="90"/>
  <c r="P16" i="90"/>
  <c r="N16" i="90"/>
  <c r="L16" i="90"/>
  <c r="K16" i="90"/>
  <c r="M16" i="90"/>
  <c r="J16" i="90"/>
  <c r="U16" i="90"/>
  <c r="W16" i="90"/>
  <c r="T16" i="90"/>
  <c r="V16" i="90"/>
  <c r="X16" i="90"/>
  <c r="AA16" i="90"/>
  <c r="AB16" i="90"/>
  <c r="AC16" i="90"/>
  <c r="Z16" i="90"/>
  <c r="H16" i="90"/>
  <c r="E16" i="90"/>
  <c r="I16" i="90"/>
  <c r="G16" i="90"/>
  <c r="F16" i="90"/>
  <c r="AE16" i="90"/>
  <c r="AF16" i="90"/>
  <c r="AD16" i="90"/>
  <c r="AG16" i="90"/>
  <c r="AH16" i="90"/>
  <c r="AK54" i="93"/>
  <c r="AJ54" i="93"/>
  <c r="AI54" i="93"/>
  <c r="AC54" i="93"/>
  <c r="X54" i="93"/>
  <c r="AD54" i="93"/>
  <c r="AE54" i="93"/>
  <c r="W54" i="93"/>
  <c r="AA54" i="93"/>
  <c r="Y54" i="93"/>
  <c r="AF54" i="93"/>
  <c r="AB54" i="93"/>
  <c r="Z54" i="93"/>
  <c r="AG54" i="93"/>
  <c r="AH54" i="93"/>
  <c r="AG40" i="93"/>
  <c r="X40" i="93"/>
  <c r="AJ40" i="93"/>
  <c r="Z40" i="93"/>
  <c r="AD40" i="93"/>
  <c r="AI40" i="93"/>
  <c r="AC40" i="93"/>
  <c r="AE40" i="93"/>
  <c r="AB40" i="93"/>
  <c r="AK40" i="93"/>
  <c r="Y40" i="93"/>
  <c r="W40" i="93"/>
  <c r="AH40" i="93"/>
  <c r="AF40" i="93"/>
  <c r="AA40" i="93"/>
  <c r="AH47" i="93"/>
  <c r="AB47" i="93"/>
  <c r="AF47" i="93"/>
  <c r="W47" i="93"/>
  <c r="AK47" i="93"/>
  <c r="AG47" i="93"/>
  <c r="AE47" i="93"/>
  <c r="AI47" i="93"/>
  <c r="Y47" i="93"/>
  <c r="Z47" i="93"/>
  <c r="AD47" i="93"/>
  <c r="AJ47" i="93"/>
  <c r="AA47" i="93"/>
  <c r="AC47" i="93"/>
  <c r="X47" i="93"/>
  <c r="J167" i="90"/>
  <c r="K167" i="90"/>
  <c r="L167" i="90"/>
  <c r="N167" i="90"/>
  <c r="M167" i="90"/>
  <c r="Y166" i="90"/>
  <c r="M166" i="90"/>
  <c r="X166" i="90"/>
  <c r="L166" i="90"/>
  <c r="W166" i="90"/>
  <c r="K166" i="90"/>
  <c r="AH166" i="90"/>
  <c r="V166" i="90"/>
  <c r="J166" i="90"/>
  <c r="AG166" i="90"/>
  <c r="U166" i="90"/>
  <c r="I166" i="90"/>
  <c r="N166" i="90"/>
  <c r="AF166" i="90"/>
  <c r="T166" i="90"/>
  <c r="H166" i="90"/>
  <c r="Z166" i="90"/>
  <c r="AE166" i="90"/>
  <c r="S166" i="90"/>
  <c r="G166" i="90"/>
  <c r="AD166" i="90"/>
  <c r="R166" i="90"/>
  <c r="F166" i="90"/>
  <c r="AA166" i="90"/>
  <c r="O166" i="90"/>
  <c r="AC166" i="90"/>
  <c r="Q166" i="90"/>
  <c r="E166" i="90"/>
  <c r="AB166" i="90"/>
  <c r="P166" i="90"/>
  <c r="S167" i="90"/>
  <c r="R167" i="90"/>
  <c r="Q167" i="90"/>
  <c r="P167" i="90"/>
  <c r="O167" i="90"/>
  <c r="AH167" i="90"/>
  <c r="V167" i="90"/>
  <c r="AG167" i="90"/>
  <c r="U167" i="90"/>
  <c r="AF167" i="90"/>
  <c r="T167" i="90"/>
  <c r="AE167" i="90"/>
  <c r="W167" i="90"/>
  <c r="AD167" i="90"/>
  <c r="AC167" i="90"/>
  <c r="AB167" i="90"/>
  <c r="AA167" i="90"/>
  <c r="X167" i="90"/>
  <c r="Z167" i="90"/>
  <c r="Y167" i="90"/>
  <c r="AB172" i="90"/>
  <c r="P172" i="90"/>
  <c r="AH160" i="90"/>
  <c r="V160" i="90"/>
  <c r="J160" i="90"/>
  <c r="AA172" i="90"/>
  <c r="O172" i="90"/>
  <c r="AG160" i="90"/>
  <c r="U160" i="90"/>
  <c r="I160" i="90"/>
  <c r="Z172" i="90"/>
  <c r="N172" i="90"/>
  <c r="AF160" i="90"/>
  <c r="T160" i="90"/>
  <c r="H160" i="90"/>
  <c r="Y172" i="90"/>
  <c r="M172" i="90"/>
  <c r="AE160" i="90"/>
  <c r="S160" i="90"/>
  <c r="G160" i="90"/>
  <c r="X172" i="90"/>
  <c r="L172" i="90"/>
  <c r="AD160" i="90"/>
  <c r="R160" i="90"/>
  <c r="F160" i="90"/>
  <c r="E172" i="90"/>
  <c r="W172" i="90"/>
  <c r="K172" i="90"/>
  <c r="AC160" i="90"/>
  <c r="Q160" i="90"/>
  <c r="E160" i="90"/>
  <c r="Q172" i="90"/>
  <c r="K160" i="90"/>
  <c r="AH172" i="90"/>
  <c r="V172" i="90"/>
  <c r="J172" i="90"/>
  <c r="AB160" i="90"/>
  <c r="P160" i="90"/>
  <c r="AC172" i="90"/>
  <c r="W160" i="90"/>
  <c r="AG172" i="90"/>
  <c r="U172" i="90"/>
  <c r="I172" i="90"/>
  <c r="AA160" i="90"/>
  <c r="O160" i="90"/>
  <c r="AD172" i="90"/>
  <c r="R172" i="90"/>
  <c r="F172" i="90"/>
  <c r="X160" i="90"/>
  <c r="L160" i="90"/>
  <c r="AF172" i="90"/>
  <c r="T172" i="90"/>
  <c r="H172" i="90"/>
  <c r="Z160" i="90"/>
  <c r="N160" i="90"/>
  <c r="AE172" i="90"/>
  <c r="S172" i="90"/>
  <c r="G172" i="90"/>
  <c r="Y160" i="90"/>
  <c r="M160" i="90"/>
  <c r="AH173" i="90"/>
  <c r="AG173" i="90"/>
  <c r="AF173" i="90"/>
  <c r="AE173" i="90"/>
  <c r="AD173" i="90"/>
  <c r="I167" i="90"/>
  <c r="H167" i="90"/>
  <c r="Y173" i="90"/>
  <c r="M173" i="90"/>
  <c r="X173" i="90"/>
  <c r="L173" i="90"/>
  <c r="W173" i="90"/>
  <c r="K173" i="90"/>
  <c r="V173" i="90"/>
  <c r="J173" i="90"/>
  <c r="N173" i="90"/>
  <c r="U173" i="90"/>
  <c r="I173" i="90"/>
  <c r="Z173" i="90"/>
  <c r="T173" i="90"/>
  <c r="H173" i="90"/>
  <c r="S173" i="90"/>
  <c r="R173" i="90"/>
  <c r="AA173" i="90"/>
  <c r="O173" i="90"/>
  <c r="AC173" i="90"/>
  <c r="Q173" i="90"/>
  <c r="AB173" i="90"/>
  <c r="P173" i="90"/>
  <c r="S161" i="90"/>
  <c r="R161" i="90"/>
  <c r="AC161" i="90"/>
  <c r="Q161" i="90"/>
  <c r="AB161" i="90"/>
  <c r="P161" i="90"/>
  <c r="AA161" i="90"/>
  <c r="O161" i="90"/>
  <c r="H161" i="90"/>
  <c r="Z161" i="90"/>
  <c r="N161" i="90"/>
  <c r="T161" i="90"/>
  <c r="Y161" i="90"/>
  <c r="M161" i="90"/>
  <c r="X161" i="90"/>
  <c r="L161" i="90"/>
  <c r="U161" i="90"/>
  <c r="I161" i="90"/>
  <c r="W161" i="90"/>
  <c r="K161" i="90"/>
  <c r="V161" i="90"/>
  <c r="J161" i="90"/>
  <c r="AE161" i="90"/>
  <c r="AD161" i="90"/>
  <c r="AF161" i="90"/>
  <c r="AG161" i="90"/>
  <c r="AH161" i="90"/>
  <c r="I47" i="93"/>
  <c r="P47" i="93"/>
  <c r="T47" i="93"/>
  <c r="O47" i="93"/>
  <c r="V47" i="93"/>
  <c r="M47" i="93"/>
  <c r="N47" i="93"/>
  <c r="R47" i="93"/>
  <c r="K47" i="93"/>
  <c r="Q47" i="93"/>
  <c r="U47" i="93"/>
  <c r="J47" i="93"/>
  <c r="S47" i="93"/>
  <c r="L47" i="93"/>
  <c r="H47" i="93"/>
  <c r="S54" i="93"/>
  <c r="U54" i="93"/>
  <c r="I54" i="93"/>
  <c r="M54" i="93"/>
  <c r="L54" i="93"/>
  <c r="V54" i="93"/>
  <c r="T54" i="93"/>
  <c r="R54" i="93"/>
  <c r="N54" i="93"/>
  <c r="K54" i="93"/>
  <c r="H54" i="93"/>
  <c r="J54" i="93"/>
  <c r="P54" i="93"/>
  <c r="O54" i="93"/>
  <c r="Q54" i="93"/>
  <c r="N40" i="93"/>
  <c r="T40" i="93"/>
  <c r="V40" i="93"/>
  <c r="H40" i="93"/>
  <c r="I40" i="93"/>
  <c r="J40" i="93"/>
  <c r="U40" i="93"/>
  <c r="L40" i="93"/>
  <c r="R40" i="93"/>
  <c r="M40" i="93"/>
  <c r="P40" i="93"/>
  <c r="K40" i="93"/>
  <c r="Q40" i="93"/>
  <c r="S40" i="93"/>
  <c r="O40" i="93"/>
  <c r="E166" i="93"/>
  <c r="E230" i="93" s="1"/>
  <c r="AE119" i="90"/>
  <c r="AD119" i="90"/>
  <c r="AH119" i="90"/>
  <c r="AF119" i="90"/>
  <c r="AG119" i="90"/>
  <c r="Y124" i="90"/>
  <c r="M124" i="90"/>
  <c r="X124" i="90"/>
  <c r="L124" i="90"/>
  <c r="W124" i="90"/>
  <c r="K124" i="90"/>
  <c r="AH124" i="90"/>
  <c r="V124" i="90"/>
  <c r="J124" i="90"/>
  <c r="AG124" i="90"/>
  <c r="U124" i="90"/>
  <c r="I124" i="90"/>
  <c r="N124" i="90"/>
  <c r="AF124" i="90"/>
  <c r="T124" i="90"/>
  <c r="H124" i="90"/>
  <c r="Z124" i="90"/>
  <c r="AE124" i="90"/>
  <c r="S124" i="90"/>
  <c r="G124" i="90"/>
  <c r="AD124" i="90"/>
  <c r="R124" i="90"/>
  <c r="F124" i="90"/>
  <c r="AC124" i="90"/>
  <c r="Q124" i="90"/>
  <c r="E124" i="90"/>
  <c r="AB124" i="90"/>
  <c r="P124" i="90"/>
  <c r="AA124" i="90"/>
  <c r="O124" i="90"/>
  <c r="I125" i="90"/>
  <c r="H125" i="90"/>
  <c r="S119" i="90"/>
  <c r="R119" i="90"/>
  <c r="AC119" i="90"/>
  <c r="Q119" i="90"/>
  <c r="AB119" i="90"/>
  <c r="P119" i="90"/>
  <c r="AA119" i="90"/>
  <c r="O119" i="90"/>
  <c r="Z119" i="90"/>
  <c r="N119" i="90"/>
  <c r="T119" i="90"/>
  <c r="Y119" i="90"/>
  <c r="M119" i="90"/>
  <c r="X119" i="90"/>
  <c r="L119" i="90"/>
  <c r="W119" i="90"/>
  <c r="K119" i="90"/>
  <c r="V119" i="90"/>
  <c r="J119" i="90"/>
  <c r="H119" i="90"/>
  <c r="U119" i="90"/>
  <c r="I119" i="90"/>
  <c r="S125" i="90"/>
  <c r="R125" i="90"/>
  <c r="Q125" i="90"/>
  <c r="P125" i="90"/>
  <c r="O125" i="90"/>
  <c r="AH131" i="90"/>
  <c r="AG131" i="90"/>
  <c r="AF131" i="90"/>
  <c r="AE131" i="90"/>
  <c r="AD131" i="90"/>
  <c r="J125" i="90"/>
  <c r="N125" i="90"/>
  <c r="M125" i="90"/>
  <c r="K125" i="90"/>
  <c r="L125" i="90"/>
  <c r="AH125" i="90"/>
  <c r="V125" i="90"/>
  <c r="AG125" i="90"/>
  <c r="U125" i="90"/>
  <c r="AF125" i="90"/>
  <c r="T125" i="90"/>
  <c r="AE125" i="90"/>
  <c r="AD125" i="90"/>
  <c r="AC125" i="90"/>
  <c r="W125" i="90"/>
  <c r="AB125" i="90"/>
  <c r="AA125" i="90"/>
  <c r="Z125" i="90"/>
  <c r="Y125" i="90"/>
  <c r="X125" i="90"/>
  <c r="Z131" i="90"/>
  <c r="M131" i="90"/>
  <c r="Y131" i="90"/>
  <c r="L131" i="90"/>
  <c r="X131" i="90"/>
  <c r="K131" i="90"/>
  <c r="P131" i="90"/>
  <c r="W131" i="90"/>
  <c r="J131" i="90"/>
  <c r="V131" i="90"/>
  <c r="I131" i="90"/>
  <c r="U131" i="90"/>
  <c r="H131" i="90"/>
  <c r="N131" i="90"/>
  <c r="T131" i="90"/>
  <c r="S131" i="90"/>
  <c r="R131" i="90"/>
  <c r="AC131" i="90"/>
  <c r="Q131" i="90"/>
  <c r="AA131" i="90"/>
  <c r="AB131" i="90"/>
  <c r="O131" i="90"/>
  <c r="AB130" i="90"/>
  <c r="P130" i="90"/>
  <c r="AH118" i="90"/>
  <c r="V118" i="90"/>
  <c r="J118" i="90"/>
  <c r="AA130" i="90"/>
  <c r="O130" i="90"/>
  <c r="AG118" i="90"/>
  <c r="U118" i="90"/>
  <c r="I118" i="90"/>
  <c r="Z130" i="90"/>
  <c r="N130" i="90"/>
  <c r="AF118" i="90"/>
  <c r="T118" i="90"/>
  <c r="H118" i="90"/>
  <c r="Y130" i="90"/>
  <c r="M130" i="90"/>
  <c r="AE118" i="90"/>
  <c r="S118" i="90"/>
  <c r="G118" i="90"/>
  <c r="X130" i="90"/>
  <c r="L130" i="90"/>
  <c r="AD118" i="90"/>
  <c r="R118" i="90"/>
  <c r="F118" i="90"/>
  <c r="K118" i="90"/>
  <c r="W130" i="90"/>
  <c r="K130" i="90"/>
  <c r="AC118" i="90"/>
  <c r="Q118" i="90"/>
  <c r="E118" i="90"/>
  <c r="Q130" i="90"/>
  <c r="W118" i="90"/>
  <c r="AH130" i="90"/>
  <c r="V130" i="90"/>
  <c r="J130" i="90"/>
  <c r="AB118" i="90"/>
  <c r="P118" i="90"/>
  <c r="AG130" i="90"/>
  <c r="U130" i="90"/>
  <c r="I130" i="90"/>
  <c r="AA118" i="90"/>
  <c r="O118" i="90"/>
  <c r="AF130" i="90"/>
  <c r="T130" i="90"/>
  <c r="H130" i="90"/>
  <c r="Z118" i="90"/>
  <c r="N118" i="90"/>
  <c r="AE130" i="90"/>
  <c r="S130" i="90"/>
  <c r="G130" i="90"/>
  <c r="Y118" i="90"/>
  <c r="M118" i="90"/>
  <c r="AC130" i="90"/>
  <c r="E130" i="90"/>
  <c r="AD130" i="90"/>
  <c r="R130" i="90"/>
  <c r="F130" i="90"/>
  <c r="X118" i="90"/>
  <c r="L118" i="90"/>
  <c r="I103" i="90"/>
  <c r="H103" i="90"/>
  <c r="AB108" i="90"/>
  <c r="P108" i="90"/>
  <c r="AH96" i="90"/>
  <c r="V96" i="90"/>
  <c r="J96" i="90"/>
  <c r="Z108" i="90"/>
  <c r="AF96" i="90"/>
  <c r="T96" i="90"/>
  <c r="Y96" i="90"/>
  <c r="AA108" i="90"/>
  <c r="O108" i="90"/>
  <c r="AG96" i="90"/>
  <c r="U96" i="90"/>
  <c r="I96" i="90"/>
  <c r="N108" i="90"/>
  <c r="H96" i="90"/>
  <c r="E108" i="90"/>
  <c r="Y108" i="90"/>
  <c r="M108" i="90"/>
  <c r="AE96" i="90"/>
  <c r="S96" i="90"/>
  <c r="G96" i="90"/>
  <c r="N96" i="90"/>
  <c r="AE108" i="90"/>
  <c r="X108" i="90"/>
  <c r="L108" i="90"/>
  <c r="AD96" i="90"/>
  <c r="R96" i="90"/>
  <c r="F96" i="90"/>
  <c r="AB96" i="90"/>
  <c r="O96" i="90"/>
  <c r="S108" i="90"/>
  <c r="F108" i="90"/>
  <c r="W108" i="90"/>
  <c r="K108" i="90"/>
  <c r="AC96" i="90"/>
  <c r="Q96" i="90"/>
  <c r="E96" i="90"/>
  <c r="AA96" i="90"/>
  <c r="G108" i="90"/>
  <c r="M96" i="90"/>
  <c r="R108" i="90"/>
  <c r="Q108" i="90"/>
  <c r="W96" i="90"/>
  <c r="AH108" i="90"/>
  <c r="V108" i="90"/>
  <c r="J108" i="90"/>
  <c r="P96" i="90"/>
  <c r="L96" i="90"/>
  <c r="AC108" i="90"/>
  <c r="AG108" i="90"/>
  <c r="U108" i="90"/>
  <c r="I108" i="90"/>
  <c r="X96" i="90"/>
  <c r="AF108" i="90"/>
  <c r="T108" i="90"/>
  <c r="H108" i="90"/>
  <c r="Z96" i="90"/>
  <c r="AD108" i="90"/>
  <c r="K96" i="90"/>
  <c r="Y109" i="90"/>
  <c r="M109" i="90"/>
  <c r="W109" i="90"/>
  <c r="X109" i="90"/>
  <c r="L109" i="90"/>
  <c r="K109" i="90"/>
  <c r="V109" i="90"/>
  <c r="J109" i="90"/>
  <c r="N109" i="90"/>
  <c r="U109" i="90"/>
  <c r="I109" i="90"/>
  <c r="T109" i="90"/>
  <c r="H109" i="90"/>
  <c r="S109" i="90"/>
  <c r="O109" i="90"/>
  <c r="R109" i="90"/>
  <c r="AB109" i="90"/>
  <c r="AA109" i="90"/>
  <c r="Z109" i="90"/>
  <c r="AC109" i="90"/>
  <c r="Q109" i="90"/>
  <c r="P109" i="90"/>
  <c r="S97" i="90"/>
  <c r="AC97" i="90"/>
  <c r="R97" i="90"/>
  <c r="Q97" i="90"/>
  <c r="T97" i="90"/>
  <c r="AB97" i="90"/>
  <c r="P97" i="90"/>
  <c r="AA97" i="90"/>
  <c r="O97" i="90"/>
  <c r="J97" i="90"/>
  <c r="U97" i="90"/>
  <c r="Z97" i="90"/>
  <c r="N97" i="90"/>
  <c r="I97" i="90"/>
  <c r="Y97" i="90"/>
  <c r="M97" i="90"/>
  <c r="L97" i="90"/>
  <c r="X97" i="90"/>
  <c r="H97" i="90"/>
  <c r="W97" i="90"/>
  <c r="K97" i="90"/>
  <c r="V97" i="90"/>
  <c r="N103" i="90"/>
  <c r="M103" i="90"/>
  <c r="L103" i="90"/>
  <c r="K103" i="90"/>
  <c r="J103" i="90"/>
  <c r="P103" i="90"/>
  <c r="O103" i="90"/>
  <c r="R103" i="90"/>
  <c r="Q103" i="90"/>
  <c r="S103" i="90"/>
  <c r="AE97" i="90"/>
  <c r="AD97" i="90"/>
  <c r="AG97" i="90"/>
  <c r="AF97" i="90"/>
  <c r="AH97" i="90"/>
  <c r="AH109" i="90"/>
  <c r="AG109" i="90"/>
  <c r="AF109" i="90"/>
  <c r="AE109" i="90"/>
  <c r="AD109" i="90"/>
  <c r="AE102" i="90"/>
  <c r="S102" i="90"/>
  <c r="G102" i="90"/>
  <c r="AC102" i="90"/>
  <c r="Q102" i="90"/>
  <c r="AD102" i="90"/>
  <c r="R102" i="90"/>
  <c r="F102" i="90"/>
  <c r="E102" i="90"/>
  <c r="T102" i="90"/>
  <c r="AB102" i="90"/>
  <c r="P102" i="90"/>
  <c r="AH102" i="90"/>
  <c r="I102" i="90"/>
  <c r="H102" i="90"/>
  <c r="AA102" i="90"/>
  <c r="O102" i="90"/>
  <c r="X102" i="90"/>
  <c r="V102" i="90"/>
  <c r="AG102" i="90"/>
  <c r="Z102" i="90"/>
  <c r="N102" i="90"/>
  <c r="J102" i="90"/>
  <c r="Y102" i="90"/>
  <c r="M102" i="90"/>
  <c r="L102" i="90"/>
  <c r="U102" i="90"/>
  <c r="AF102" i="90"/>
  <c r="W102" i="90"/>
  <c r="K102" i="90"/>
  <c r="AB103" i="90"/>
  <c r="Z103" i="90"/>
  <c r="AA103" i="90"/>
  <c r="Y103" i="90"/>
  <c r="X103" i="90"/>
  <c r="W103" i="90"/>
  <c r="AH103" i="90"/>
  <c r="V103" i="90"/>
  <c r="AE103" i="90"/>
  <c r="AC103" i="90"/>
  <c r="AG103" i="90"/>
  <c r="U103" i="90"/>
  <c r="AF103" i="90"/>
  <c r="T103" i="90"/>
  <c r="AD103" i="90"/>
  <c r="D166" i="93"/>
  <c r="D230" i="93" s="1"/>
  <c r="G147" i="93"/>
  <c r="G150" i="93" s="1"/>
  <c r="G165" i="93" s="1"/>
  <c r="G166" i="93" s="1"/>
  <c r="G211" i="93"/>
  <c r="G214" i="93" s="1"/>
  <c r="G229" i="93" s="1"/>
  <c r="G230" i="93" s="1"/>
  <c r="E10" i="90"/>
  <c r="C55" i="46"/>
  <c r="D55" i="46" s="1"/>
  <c r="E55" i="46" s="1"/>
  <c r="F55" i="46" s="1"/>
  <c r="G55" i="46" s="1"/>
  <c r="H55" i="46" s="1"/>
  <c r="I55" i="46" s="1"/>
  <c r="J55" i="46" s="1"/>
  <c r="K55" i="46" s="1"/>
  <c r="L55" i="46" s="1"/>
  <c r="M55" i="46" s="1"/>
  <c r="N55" i="46" s="1"/>
  <c r="O55" i="46" s="1"/>
  <c r="P55" i="46" s="1"/>
  <c r="Q55" i="46" s="1"/>
  <c r="R55" i="46" s="1"/>
  <c r="S55" i="46" s="1"/>
  <c r="T55" i="46" s="1"/>
  <c r="U55" i="46" s="1"/>
  <c r="V55" i="46" s="1"/>
  <c r="W55" i="46" s="1"/>
  <c r="X55" i="46" s="1"/>
  <c r="Y55" i="46" s="1"/>
  <c r="Z55" i="46" s="1"/>
  <c r="AA55" i="46" s="1"/>
  <c r="AB55" i="46" s="1"/>
  <c r="AC55" i="46" s="1"/>
  <c r="AD55" i="46" s="1"/>
  <c r="AE55" i="46" s="1"/>
  <c r="AF55" i="46" s="1"/>
  <c r="C42" i="46"/>
  <c r="D42" i="46" s="1"/>
  <c r="E42" i="46" s="1"/>
  <c r="F42" i="46" s="1"/>
  <c r="G42" i="46" s="1"/>
  <c r="H42" i="46" s="1"/>
  <c r="I42" i="46" s="1"/>
  <c r="J42" i="46" s="1"/>
  <c r="K42" i="46" s="1"/>
  <c r="L42" i="46" s="1"/>
  <c r="M42" i="46" s="1"/>
  <c r="N42" i="46" s="1"/>
  <c r="O42" i="46" s="1"/>
  <c r="P42" i="46" s="1"/>
  <c r="Q42" i="46" s="1"/>
  <c r="R42" i="46" s="1"/>
  <c r="S42" i="46" s="1"/>
  <c r="T42" i="46" s="1"/>
  <c r="U42" i="46" s="1"/>
  <c r="V42" i="46" s="1"/>
  <c r="W42" i="46" s="1"/>
  <c r="X42" i="46" s="1"/>
  <c r="Y42" i="46" s="1"/>
  <c r="Z42" i="46" s="1"/>
  <c r="AA42" i="46" s="1"/>
  <c r="AB42" i="46" s="1"/>
  <c r="AC42" i="46" s="1"/>
  <c r="AD42" i="46" s="1"/>
  <c r="AE42" i="46" s="1"/>
  <c r="AF42" i="46" s="1"/>
  <c r="C26" i="46"/>
  <c r="W87" i="90"/>
  <c r="AH30" i="90"/>
  <c r="AG30" i="90"/>
  <c r="AF30" i="90"/>
  <c r="AE30" i="90"/>
  <c r="AD30" i="90"/>
  <c r="AC30" i="90"/>
  <c r="AB30" i="90"/>
  <c r="AA30" i="90"/>
  <c r="Z30" i="90"/>
  <c r="Y30" i="90"/>
  <c r="X30" i="90"/>
  <c r="W30" i="90"/>
  <c r="V30" i="90"/>
  <c r="U30" i="90"/>
  <c r="T30" i="90"/>
  <c r="S30" i="90"/>
  <c r="R30" i="90"/>
  <c r="Q30" i="90"/>
  <c r="P30" i="90"/>
  <c r="O30" i="90"/>
  <c r="N30" i="90"/>
  <c r="M30" i="90"/>
  <c r="L30" i="90"/>
  <c r="K30" i="90"/>
  <c r="J30" i="90"/>
  <c r="I30" i="90"/>
  <c r="H30" i="90"/>
  <c r="G30" i="90"/>
  <c r="F30" i="90"/>
  <c r="E30" i="90"/>
  <c r="AH74" i="90"/>
  <c r="AG74" i="90"/>
  <c r="AF74" i="90"/>
  <c r="AE74" i="90"/>
  <c r="AD74" i="90"/>
  <c r="AC74" i="90"/>
  <c r="AB74" i="90"/>
  <c r="AA74" i="90"/>
  <c r="Z74" i="90"/>
  <c r="Y74" i="90"/>
  <c r="X74" i="90"/>
  <c r="W74" i="90"/>
  <c r="V74" i="90"/>
  <c r="U74" i="90"/>
  <c r="T74" i="90"/>
  <c r="S74" i="90"/>
  <c r="R74" i="90"/>
  <c r="Q74" i="90"/>
  <c r="P74" i="90"/>
  <c r="O74" i="90"/>
  <c r="N74" i="90"/>
  <c r="M74" i="90"/>
  <c r="L74" i="90"/>
  <c r="K74" i="90"/>
  <c r="J74" i="90"/>
  <c r="I74" i="90"/>
  <c r="H74" i="90"/>
  <c r="G74" i="90"/>
  <c r="F74" i="90"/>
  <c r="E74" i="90"/>
  <c r="AH52" i="90"/>
  <c r="AG52" i="90"/>
  <c r="AF52" i="90"/>
  <c r="AE52" i="90"/>
  <c r="AD52" i="90"/>
  <c r="AC52" i="90"/>
  <c r="AB52" i="90"/>
  <c r="AA52" i="90"/>
  <c r="Y25" i="46" s="1" a="1"/>
  <c r="Y25" i="46" s="1"/>
  <c r="Z52" i="90"/>
  <c r="Y52" i="90"/>
  <c r="X52" i="90"/>
  <c r="W52" i="90"/>
  <c r="V52" i="90"/>
  <c r="U52" i="90"/>
  <c r="T52" i="90"/>
  <c r="S52" i="90"/>
  <c r="R52" i="90"/>
  <c r="Q52" i="90"/>
  <c r="P52" i="90"/>
  <c r="O52" i="90"/>
  <c r="M25" i="46" s="1" a="1"/>
  <c r="M25" i="46" s="1"/>
  <c r="N52" i="90"/>
  <c r="M52" i="90"/>
  <c r="K25" i="46" s="1" a="1"/>
  <c r="K25" i="46" s="1"/>
  <c r="L52" i="90"/>
  <c r="K52" i="90"/>
  <c r="J52" i="90"/>
  <c r="I52" i="90"/>
  <c r="H52" i="90"/>
  <c r="G52" i="90"/>
  <c r="F52" i="90"/>
  <c r="E52" i="90"/>
  <c r="AH8" i="90"/>
  <c r="AG8" i="90"/>
  <c r="AF8" i="90"/>
  <c r="AE8" i="90"/>
  <c r="AD8" i="90"/>
  <c r="AC8" i="90"/>
  <c r="AB8" i="90"/>
  <c r="AA8" i="90"/>
  <c r="Z8" i="90"/>
  <c r="Y8" i="90"/>
  <c r="X8" i="90"/>
  <c r="W8" i="90"/>
  <c r="V8" i="90"/>
  <c r="U8" i="90"/>
  <c r="T8" i="90"/>
  <c r="S8" i="90"/>
  <c r="R8" i="90"/>
  <c r="Q8" i="90"/>
  <c r="P8" i="90"/>
  <c r="O8" i="90"/>
  <c r="N8" i="90"/>
  <c r="M8" i="90"/>
  <c r="L8" i="90"/>
  <c r="K8" i="90"/>
  <c r="J8" i="90"/>
  <c r="I8" i="90"/>
  <c r="H8" i="90"/>
  <c r="G8" i="90"/>
  <c r="F8" i="90"/>
  <c r="E8" i="90"/>
  <c r="AH20" i="90"/>
  <c r="AG20" i="90"/>
  <c r="AF20" i="90"/>
  <c r="AE20" i="90"/>
  <c r="AD20" i="90"/>
  <c r="AC20" i="90"/>
  <c r="AB20" i="90"/>
  <c r="AA20" i="90"/>
  <c r="Z20" i="90"/>
  <c r="Y20" i="90"/>
  <c r="X20" i="90"/>
  <c r="W20" i="90"/>
  <c r="V20" i="90"/>
  <c r="U20" i="90"/>
  <c r="T20" i="90"/>
  <c r="S20" i="90"/>
  <c r="R20" i="90"/>
  <c r="Q20" i="90"/>
  <c r="P20" i="90"/>
  <c r="O20" i="90"/>
  <c r="N20" i="90"/>
  <c r="M20" i="90"/>
  <c r="L20" i="90"/>
  <c r="J20" i="90"/>
  <c r="I20" i="90"/>
  <c r="H20" i="90"/>
  <c r="G20" i="90"/>
  <c r="F20" i="90"/>
  <c r="E20" i="90"/>
  <c r="E86" i="90"/>
  <c r="F86" i="90"/>
  <c r="G86" i="90"/>
  <c r="H86" i="90"/>
  <c r="I86" i="90"/>
  <c r="J86" i="90"/>
  <c r="K86" i="90"/>
  <c r="L86" i="90"/>
  <c r="M86" i="90"/>
  <c r="N86" i="90"/>
  <c r="O86" i="90"/>
  <c r="P86" i="90"/>
  <c r="Q86" i="90"/>
  <c r="R86" i="90"/>
  <c r="S86" i="90"/>
  <c r="T86" i="90"/>
  <c r="U86" i="90"/>
  <c r="V86" i="90"/>
  <c r="W86" i="90"/>
  <c r="X86" i="90"/>
  <c r="Y86" i="90"/>
  <c r="Z86" i="90"/>
  <c r="AA86" i="90"/>
  <c r="AB86" i="90"/>
  <c r="AC86" i="90"/>
  <c r="AD86" i="90"/>
  <c r="AE86" i="90"/>
  <c r="AF86" i="90"/>
  <c r="AG86" i="90"/>
  <c r="AH86" i="90"/>
  <c r="F25" i="46" l="1" a="1"/>
  <c r="F25" i="46" s="1"/>
  <c r="Z25" i="46" a="1"/>
  <c r="Z25" i="46" s="1"/>
  <c r="O25" i="46" a="1"/>
  <c r="O25" i="46" s="1"/>
  <c r="P25" i="46" a="1"/>
  <c r="P25" i="46" s="1"/>
  <c r="AD25" i="46" a="1"/>
  <c r="AD25" i="46" s="1"/>
  <c r="N25" i="46" a="1"/>
  <c r="N25" i="46" s="1"/>
  <c r="C25" i="46" a="1"/>
  <c r="C25" i="46" s="1"/>
  <c r="AA25" i="46" a="1"/>
  <c r="AA25" i="46" s="1"/>
  <c r="D25" i="46" a="1"/>
  <c r="D25" i="46" s="1"/>
  <c r="AB25" i="46" a="1"/>
  <c r="AB25" i="46" s="1"/>
  <c r="R25" i="46" a="1"/>
  <c r="R25" i="46" s="1"/>
  <c r="H25" i="46" a="1"/>
  <c r="H25" i="46" s="1"/>
  <c r="U25" i="46" a="1"/>
  <c r="U25" i="46" s="1"/>
  <c r="J25" i="46" a="1"/>
  <c r="J25" i="46" s="1"/>
  <c r="T25" i="46" a="1"/>
  <c r="T25" i="46" s="1"/>
  <c r="I25" i="46" a="1"/>
  <c r="I25" i="46" s="1"/>
  <c r="V25" i="46" a="1"/>
  <c r="V25" i="46" s="1"/>
  <c r="W25" i="46" a="1"/>
  <c r="W25" i="46" s="1"/>
  <c r="AF25" i="46" a="1"/>
  <c r="AF25" i="46" s="1"/>
  <c r="L25" i="46" a="1"/>
  <c r="L25" i="46" s="1"/>
  <c r="X25" i="46" a="1"/>
  <c r="X25" i="46" s="1"/>
  <c r="E25" i="46" a="1"/>
  <c r="E25" i="46" s="1"/>
  <c r="Q25" i="46" a="1"/>
  <c r="Q25" i="46" s="1"/>
  <c r="AC25" i="46" a="1"/>
  <c r="AC25" i="46" s="1"/>
  <c r="G25" i="46" a="1"/>
  <c r="G25" i="46" s="1"/>
  <c r="S25" i="46" a="1"/>
  <c r="S25" i="46" s="1"/>
  <c r="AE25" i="46" a="1"/>
  <c r="AE25" i="46" s="1"/>
  <c r="D26" i="46"/>
  <c r="E26" i="46" s="1"/>
  <c r="F26" i="46" s="1"/>
  <c r="G26" i="46" s="1"/>
  <c r="H26" i="46" s="1"/>
  <c r="I26" i="46" s="1"/>
  <c r="J26" i="46" s="1"/>
  <c r="K26" i="46" s="1"/>
  <c r="L26" i="46" s="1"/>
  <c r="M26" i="46" s="1"/>
  <c r="N26" i="46" s="1"/>
  <c r="O26" i="46" s="1"/>
  <c r="P26" i="46" s="1"/>
  <c r="Q26" i="46" s="1"/>
  <c r="R26" i="46" s="1"/>
  <c r="S26" i="46" s="1"/>
  <c r="T26" i="46" s="1"/>
  <c r="U26" i="46" s="1"/>
  <c r="V26" i="46" s="1"/>
  <c r="W26" i="46" s="1"/>
  <c r="X26" i="46" s="1"/>
  <c r="Y26" i="46" s="1"/>
  <c r="Z26" i="46" s="1"/>
  <c r="AA26" i="46" s="1"/>
  <c r="AB26" i="46" s="1"/>
  <c r="AC26" i="46" s="1"/>
  <c r="AD26" i="46" s="1"/>
  <c r="AE26" i="46" s="1"/>
  <c r="AF26" i="46" s="1"/>
  <c r="H79" i="93"/>
  <c r="G262" i="93"/>
  <c r="AH87" i="90"/>
  <c r="AD87" i="90"/>
  <c r="U87" i="90"/>
  <c r="T87" i="90"/>
  <c r="L87" i="90"/>
  <c r="V87" i="90"/>
  <c r="AG87" i="90"/>
  <c r="O87" i="90"/>
  <c r="AF87" i="90"/>
  <c r="N87" i="90"/>
  <c r="AE87" i="90"/>
  <c r="M87" i="90"/>
  <c r="P87" i="90"/>
  <c r="AA87" i="90"/>
  <c r="K87" i="90"/>
  <c r="Z87" i="90"/>
  <c r="J87" i="90"/>
  <c r="Y87" i="90"/>
  <c r="I87" i="90"/>
  <c r="X87" i="90"/>
  <c r="H87" i="90"/>
  <c r="R87" i="90"/>
  <c r="AC87" i="90"/>
  <c r="Q87" i="90"/>
  <c r="S87" i="90"/>
  <c r="AB87" i="90"/>
  <c r="R21" i="90" l="1"/>
  <c r="R43" i="90"/>
  <c r="R37" i="90"/>
  <c r="R65" i="90"/>
  <c r="P56" i="46" s="1" a="1"/>
  <c r="P56" i="46" s="1"/>
  <c r="R81" i="90"/>
  <c r="R59" i="90"/>
  <c r="R15" i="90"/>
  <c r="P43" i="46" s="1" a="1"/>
  <c r="P43" i="46" s="1"/>
  <c r="T15" i="90"/>
  <c r="R43" i="46" s="1" a="1"/>
  <c r="R43" i="46" s="1"/>
  <c r="AA15" i="90"/>
  <c r="Y43" i="46" s="1" a="1"/>
  <c r="Y43" i="46" s="1"/>
  <c r="AA75" i="90"/>
  <c r="AA53" i="90"/>
  <c r="AA31" i="90"/>
  <c r="AA9" i="90"/>
  <c r="Y27" i="46" s="1" a="1"/>
  <c r="Y27" i="46" s="1"/>
  <c r="H65" i="90"/>
  <c r="I65" i="90"/>
  <c r="J65" i="90"/>
  <c r="K65" i="90"/>
  <c r="L65" i="90"/>
  <c r="M65" i="90"/>
  <c r="N65" i="90"/>
  <c r="O65" i="90"/>
  <c r="M56" i="46" s="1" a="1"/>
  <c r="M56" i="46" s="1"/>
  <c r="P65" i="90"/>
  <c r="Q65" i="90"/>
  <c r="S65" i="90"/>
  <c r="Q56" i="46" s="1" a="1"/>
  <c r="Q56" i="46" s="1"/>
  <c r="T65" i="90"/>
  <c r="U65" i="90"/>
  <c r="V65" i="90"/>
  <c r="W65" i="90"/>
  <c r="X65" i="90"/>
  <c r="Y65" i="90"/>
  <c r="Z65" i="90"/>
  <c r="AA65" i="90"/>
  <c r="AB65" i="90"/>
  <c r="Z56" i="46" s="1" a="1"/>
  <c r="Z56" i="46" s="1"/>
  <c r="AC65" i="90"/>
  <c r="AA56" i="46" s="1" a="1"/>
  <c r="AA56" i="46" s="1"/>
  <c r="AD65" i="90"/>
  <c r="AB56" i="46" s="1" a="1"/>
  <c r="AB56" i="46" s="1"/>
  <c r="AE65" i="90"/>
  <c r="AF65" i="90"/>
  <c r="AG65" i="90"/>
  <c r="AH65" i="90"/>
  <c r="H43" i="90"/>
  <c r="I43" i="90"/>
  <c r="J43" i="90"/>
  <c r="K43" i="90"/>
  <c r="L43" i="90"/>
  <c r="M43" i="90"/>
  <c r="N43" i="90"/>
  <c r="O43" i="90"/>
  <c r="P43" i="90"/>
  <c r="Q43" i="90"/>
  <c r="S43" i="90"/>
  <c r="T43" i="90"/>
  <c r="U43" i="90"/>
  <c r="V43" i="90"/>
  <c r="W43" i="90"/>
  <c r="X43" i="90"/>
  <c r="Y43" i="90"/>
  <c r="Z43" i="90"/>
  <c r="AA43" i="90"/>
  <c r="AB43" i="90"/>
  <c r="AC43" i="90"/>
  <c r="AD43" i="90"/>
  <c r="AE43" i="90"/>
  <c r="AF43" i="90"/>
  <c r="AG43" i="90"/>
  <c r="AH43" i="90"/>
  <c r="H59" i="90"/>
  <c r="I59" i="90"/>
  <c r="J59" i="90"/>
  <c r="K59" i="90"/>
  <c r="L59" i="90"/>
  <c r="M59" i="90"/>
  <c r="N59" i="90"/>
  <c r="O59" i="90"/>
  <c r="P59" i="90"/>
  <c r="Q59" i="90"/>
  <c r="S59" i="90"/>
  <c r="T59" i="90"/>
  <c r="U59" i="90"/>
  <c r="V59" i="90"/>
  <c r="W59" i="90"/>
  <c r="X59" i="90"/>
  <c r="Y59" i="90"/>
  <c r="Z59" i="90"/>
  <c r="AA59" i="90"/>
  <c r="AB59" i="90"/>
  <c r="AC59" i="90"/>
  <c r="AD59" i="90"/>
  <c r="AE59" i="90"/>
  <c r="AF59" i="90"/>
  <c r="AG59" i="90"/>
  <c r="AH59" i="90"/>
  <c r="H37" i="90"/>
  <c r="I37" i="90"/>
  <c r="J37" i="90"/>
  <c r="K37" i="90"/>
  <c r="L37" i="90"/>
  <c r="M37" i="90"/>
  <c r="N37" i="90"/>
  <c r="O37" i="90"/>
  <c r="P37" i="90"/>
  <c r="Q37" i="90"/>
  <c r="S37" i="90"/>
  <c r="T37" i="90"/>
  <c r="U37" i="90"/>
  <c r="V37" i="90"/>
  <c r="W37" i="90"/>
  <c r="X37" i="90"/>
  <c r="Y37" i="90"/>
  <c r="Z37" i="90"/>
  <c r="AA37" i="90"/>
  <c r="AB37" i="90"/>
  <c r="AC37" i="90"/>
  <c r="AD37" i="90"/>
  <c r="AE37" i="90"/>
  <c r="AF37" i="90"/>
  <c r="AG37" i="90"/>
  <c r="AH37" i="90"/>
  <c r="H75" i="90"/>
  <c r="I75" i="90"/>
  <c r="J75" i="90"/>
  <c r="K75" i="90"/>
  <c r="L75" i="90"/>
  <c r="M75" i="90"/>
  <c r="N75" i="90"/>
  <c r="O75" i="90"/>
  <c r="P75" i="90"/>
  <c r="Q75" i="90"/>
  <c r="R75" i="90"/>
  <c r="S75" i="90"/>
  <c r="T75" i="90"/>
  <c r="U75" i="90"/>
  <c r="V75" i="90"/>
  <c r="W75" i="90"/>
  <c r="X75" i="90"/>
  <c r="Y75" i="90"/>
  <c r="Z75" i="90"/>
  <c r="AB75" i="90"/>
  <c r="AC75" i="90"/>
  <c r="AD75" i="90"/>
  <c r="AE75" i="90"/>
  <c r="AF75" i="90"/>
  <c r="AG75" i="90"/>
  <c r="AH75" i="90"/>
  <c r="H53" i="90"/>
  <c r="I53" i="90"/>
  <c r="J53" i="90"/>
  <c r="K53" i="90"/>
  <c r="L53" i="90"/>
  <c r="M53" i="90"/>
  <c r="N53" i="90"/>
  <c r="O53" i="90"/>
  <c r="P53" i="90"/>
  <c r="Q53" i="90"/>
  <c r="R53" i="90"/>
  <c r="S53" i="90"/>
  <c r="T53" i="90"/>
  <c r="U53" i="90"/>
  <c r="V53" i="90"/>
  <c r="W53" i="90"/>
  <c r="X53" i="90"/>
  <c r="Y53" i="90"/>
  <c r="Z53" i="90"/>
  <c r="AB53" i="90"/>
  <c r="AC53" i="90"/>
  <c r="AD53" i="90"/>
  <c r="AE53" i="90"/>
  <c r="AF53" i="90"/>
  <c r="AG53" i="90"/>
  <c r="AH53" i="90"/>
  <c r="T66" i="90"/>
  <c r="R57" i="46" s="1" a="1"/>
  <c r="R57" i="46" s="1"/>
  <c r="J66" i="90"/>
  <c r="H57" i="46" s="1" a="1"/>
  <c r="H57" i="46" s="1"/>
  <c r="Y44" i="90"/>
  <c r="V44" i="90"/>
  <c r="W44" i="90"/>
  <c r="X44" i="90"/>
  <c r="U44" i="90"/>
  <c r="T44" i="90"/>
  <c r="Q44" i="90"/>
  <c r="O44" i="90"/>
  <c r="J44" i="90"/>
  <c r="AA82" i="90"/>
  <c r="AB82" i="90"/>
  <c r="AC82" i="90"/>
  <c r="E82" i="90"/>
  <c r="M82" i="90"/>
  <c r="S82" i="90"/>
  <c r="V82" i="90"/>
  <c r="Y82" i="90"/>
  <c r="AE82" i="90"/>
  <c r="G82" i="90"/>
  <c r="AD60" i="90"/>
  <c r="AB44" i="46" s="1" a="1"/>
  <c r="AB44" i="46" s="1"/>
  <c r="J60" i="90"/>
  <c r="H44" i="46" s="1" a="1"/>
  <c r="H44" i="46" s="1"/>
  <c r="AF38" i="90"/>
  <c r="AG38" i="90"/>
  <c r="AA38" i="90"/>
  <c r="AB21" i="90"/>
  <c r="AC21" i="90"/>
  <c r="K21" i="90"/>
  <c r="L21" i="90"/>
  <c r="O21" i="90"/>
  <c r="S21" i="90"/>
  <c r="W21" i="90"/>
  <c r="X21" i="90"/>
  <c r="AE21" i="90"/>
  <c r="AH21" i="90"/>
  <c r="AD21" i="90"/>
  <c r="E64" i="90"/>
  <c r="C54" i="46" s="1" a="1"/>
  <c r="C54" i="46" s="1"/>
  <c r="F64" i="90"/>
  <c r="D54" i="46" s="1" a="1"/>
  <c r="D54" i="46" s="1"/>
  <c r="G64" i="90"/>
  <c r="E54" i="46" s="1" a="1"/>
  <c r="E54" i="46" s="1"/>
  <c r="H64" i="90"/>
  <c r="F54" i="46" s="1" a="1"/>
  <c r="F54" i="46" s="1"/>
  <c r="I64" i="90"/>
  <c r="G54" i="46" s="1" a="1"/>
  <c r="G54" i="46" s="1"/>
  <c r="J64" i="90"/>
  <c r="H54" i="46" s="1" a="1"/>
  <c r="H54" i="46" s="1"/>
  <c r="K64" i="90"/>
  <c r="I54" i="46" s="1" a="1"/>
  <c r="I54" i="46" s="1"/>
  <c r="L64" i="90"/>
  <c r="J54" i="46" s="1" a="1"/>
  <c r="J54" i="46" s="1"/>
  <c r="M64" i="90"/>
  <c r="K54" i="46" s="1" a="1"/>
  <c r="K54" i="46" s="1"/>
  <c r="N64" i="90"/>
  <c r="L54" i="46" s="1" a="1"/>
  <c r="L54" i="46" s="1"/>
  <c r="O64" i="90"/>
  <c r="M54" i="46" s="1" a="1"/>
  <c r="M54" i="46" s="1"/>
  <c r="P64" i="90"/>
  <c r="N54" i="46" s="1" a="1"/>
  <c r="N54" i="46" s="1"/>
  <c r="Q64" i="90"/>
  <c r="O54" i="46" s="1" a="1"/>
  <c r="O54" i="46" s="1"/>
  <c r="R64" i="90"/>
  <c r="P54" i="46" s="1" a="1"/>
  <c r="P54" i="46" s="1"/>
  <c r="S64" i="90"/>
  <c r="Q54" i="46" s="1" a="1"/>
  <c r="Q54" i="46" s="1"/>
  <c r="T64" i="90"/>
  <c r="R54" i="46" s="1" a="1"/>
  <c r="R54" i="46" s="1"/>
  <c r="U64" i="90"/>
  <c r="S54" i="46" s="1" a="1"/>
  <c r="S54" i="46" s="1"/>
  <c r="V64" i="90"/>
  <c r="T54" i="46" s="1" a="1"/>
  <c r="T54" i="46" s="1"/>
  <c r="W64" i="90"/>
  <c r="U54" i="46" s="1" a="1"/>
  <c r="U54" i="46" s="1"/>
  <c r="X64" i="90"/>
  <c r="V54" i="46" s="1" a="1"/>
  <c r="V54" i="46" s="1"/>
  <c r="Y64" i="90"/>
  <c r="W54" i="46" s="1" a="1"/>
  <c r="W54" i="46" s="1"/>
  <c r="Z64" i="90"/>
  <c r="X54" i="46" s="1" a="1"/>
  <c r="X54" i="46" s="1"/>
  <c r="AA64" i="90"/>
  <c r="Y54" i="46" s="1" a="1"/>
  <c r="Y54" i="46" s="1"/>
  <c r="AB64" i="90"/>
  <c r="Z54" i="46" s="1" a="1"/>
  <c r="Z54" i="46" s="1"/>
  <c r="AC64" i="90"/>
  <c r="AA54" i="46" s="1" a="1"/>
  <c r="AA54" i="46" s="1"/>
  <c r="AD64" i="90"/>
  <c r="AB54" i="46" s="1" a="1"/>
  <c r="AB54" i="46" s="1"/>
  <c r="AE64" i="90"/>
  <c r="AC54" i="46" s="1" a="1"/>
  <c r="AC54" i="46" s="1"/>
  <c r="AF64" i="90"/>
  <c r="AD54" i="46" s="1" a="1"/>
  <c r="AD54" i="46" s="1"/>
  <c r="AG64" i="90"/>
  <c r="AE54" i="46" s="1" a="1"/>
  <c r="AE54" i="46" s="1"/>
  <c r="AH64" i="90"/>
  <c r="AF54" i="46" s="1" a="1"/>
  <c r="AF54" i="46" s="1"/>
  <c r="E42" i="90"/>
  <c r="F42" i="90"/>
  <c r="G42" i="90"/>
  <c r="H42" i="90"/>
  <c r="I42" i="90"/>
  <c r="J42" i="90"/>
  <c r="K42" i="90"/>
  <c r="L42" i="90"/>
  <c r="M42" i="90"/>
  <c r="N42" i="90"/>
  <c r="O42" i="90"/>
  <c r="P42" i="90"/>
  <c r="Q42" i="90"/>
  <c r="R42" i="90"/>
  <c r="S42" i="90"/>
  <c r="T42" i="90"/>
  <c r="U42" i="90"/>
  <c r="V42" i="90"/>
  <c r="W42" i="90"/>
  <c r="X42" i="90"/>
  <c r="Y42" i="90"/>
  <c r="Z42" i="90"/>
  <c r="AA42" i="90"/>
  <c r="AB42" i="90"/>
  <c r="AC42" i="90"/>
  <c r="AD42" i="90"/>
  <c r="AE42" i="90"/>
  <c r="AF42" i="90"/>
  <c r="AG42" i="90"/>
  <c r="AH42" i="90"/>
  <c r="I81" i="90"/>
  <c r="J81" i="90"/>
  <c r="K81" i="90"/>
  <c r="L81" i="90"/>
  <c r="N81" i="90"/>
  <c r="Q81" i="90"/>
  <c r="S81" i="90"/>
  <c r="T81" i="90"/>
  <c r="U81" i="90"/>
  <c r="V81" i="90"/>
  <c r="W81" i="90"/>
  <c r="X81" i="90"/>
  <c r="Z81" i="90"/>
  <c r="AC81" i="90"/>
  <c r="AD81" i="90"/>
  <c r="AE81" i="90"/>
  <c r="AF81" i="90"/>
  <c r="AG81" i="90"/>
  <c r="AH81" i="90"/>
  <c r="Q15" i="90"/>
  <c r="O43" i="46" s="1" a="1"/>
  <c r="O43" i="46" s="1"/>
  <c r="P15" i="90"/>
  <c r="N43" i="46" s="1" a="1"/>
  <c r="N43" i="46" s="1"/>
  <c r="N15" i="90"/>
  <c r="L43" i="46" s="1" a="1"/>
  <c r="L43" i="46" s="1"/>
  <c r="K15" i="90"/>
  <c r="I43" i="46" s="1" a="1"/>
  <c r="I43" i="46" s="1"/>
  <c r="U15" i="90"/>
  <c r="S43" i="46" s="1" a="1"/>
  <c r="S43" i="46" s="1"/>
  <c r="V15" i="90"/>
  <c r="T43" i="46" s="1" a="1"/>
  <c r="T43" i="46" s="1"/>
  <c r="X15" i="90"/>
  <c r="V43" i="46" s="1" a="1"/>
  <c r="V43" i="46" s="1"/>
  <c r="AB15" i="90"/>
  <c r="Z43" i="46" s="1" a="1"/>
  <c r="Z43" i="46" s="1"/>
  <c r="AC15" i="90"/>
  <c r="AA43" i="46" s="1" a="1"/>
  <c r="AA43" i="46" s="1"/>
  <c r="AD15" i="90"/>
  <c r="AB43" i="46" s="1" a="1"/>
  <c r="AB43" i="46" s="1"/>
  <c r="AE15" i="90"/>
  <c r="AC43" i="46" s="1" a="1"/>
  <c r="AC43" i="46" s="1"/>
  <c r="AF15" i="90"/>
  <c r="AD43" i="46" s="1" a="1"/>
  <c r="AD43" i="46" s="1"/>
  <c r="AG15" i="90"/>
  <c r="AE43" i="46" s="1" a="1"/>
  <c r="AE43" i="46" s="1"/>
  <c r="AH15" i="90"/>
  <c r="AF43" i="46" s="1" a="1"/>
  <c r="AF43" i="46" s="1"/>
  <c r="O15" i="90"/>
  <c r="M43" i="46" s="1" a="1"/>
  <c r="M43" i="46" s="1"/>
  <c r="J15" i="90"/>
  <c r="H43" i="46" s="1" a="1"/>
  <c r="H43" i="46" s="1"/>
  <c r="E80" i="90"/>
  <c r="F80" i="90"/>
  <c r="G80" i="90"/>
  <c r="H80" i="90"/>
  <c r="I80" i="90"/>
  <c r="J80" i="90"/>
  <c r="K80" i="90"/>
  <c r="L80" i="90"/>
  <c r="M80" i="90"/>
  <c r="N80" i="90"/>
  <c r="O80" i="90"/>
  <c r="P80" i="90"/>
  <c r="Q80" i="90"/>
  <c r="R80" i="90"/>
  <c r="S80" i="90"/>
  <c r="T80" i="90"/>
  <c r="U80" i="90"/>
  <c r="V80" i="90"/>
  <c r="W80" i="90"/>
  <c r="X80" i="90"/>
  <c r="Y80" i="90"/>
  <c r="Z80" i="90"/>
  <c r="AA80" i="90"/>
  <c r="AB80" i="90"/>
  <c r="AC80" i="90"/>
  <c r="AD80" i="90"/>
  <c r="AE80" i="90"/>
  <c r="AF80" i="90"/>
  <c r="AG80" i="90"/>
  <c r="AH80" i="90"/>
  <c r="E58" i="90"/>
  <c r="C41" i="46" s="1" a="1"/>
  <c r="C41" i="46" s="1"/>
  <c r="F58" i="90"/>
  <c r="D41" i="46" s="1" a="1"/>
  <c r="D41" i="46" s="1"/>
  <c r="G58" i="90"/>
  <c r="E41" i="46" s="1" a="1"/>
  <c r="E41" i="46" s="1"/>
  <c r="H58" i="90"/>
  <c r="F41" i="46" s="1" a="1"/>
  <c r="F41" i="46" s="1"/>
  <c r="I58" i="90"/>
  <c r="G41" i="46" s="1" a="1"/>
  <c r="G41" i="46" s="1"/>
  <c r="J58" i="90"/>
  <c r="K58" i="90"/>
  <c r="L58" i="90"/>
  <c r="J41" i="46" s="1" a="1"/>
  <c r="J41" i="46" s="1"/>
  <c r="M58" i="90"/>
  <c r="K41" i="46" s="1" a="1"/>
  <c r="K41" i="46" s="1"/>
  <c r="N58" i="90"/>
  <c r="O58" i="90"/>
  <c r="M41" i="46" s="1" a="1"/>
  <c r="M41" i="46" s="1"/>
  <c r="P58" i="90"/>
  <c r="Q58" i="90"/>
  <c r="R58" i="90"/>
  <c r="P41" i="46" s="1" a="1"/>
  <c r="P41" i="46" s="1"/>
  <c r="S58" i="90"/>
  <c r="Q41" i="46" s="1" a="1"/>
  <c r="Q41" i="46" s="1"/>
  <c r="T58" i="90"/>
  <c r="R41" i="46" s="1" a="1"/>
  <c r="R41" i="46" s="1"/>
  <c r="U58" i="90"/>
  <c r="S41" i="46" s="1" a="1"/>
  <c r="S41" i="46" s="1"/>
  <c r="V58" i="90"/>
  <c r="W58" i="90"/>
  <c r="X58" i="90"/>
  <c r="V41" i="46" s="1" a="1"/>
  <c r="V41" i="46" s="1"/>
  <c r="Y58" i="90"/>
  <c r="W41" i="46" s="1" a="1"/>
  <c r="W41" i="46" s="1"/>
  <c r="Z58" i="90"/>
  <c r="X41" i="46" s="1" a="1"/>
  <c r="X41" i="46" s="1"/>
  <c r="AA58" i="90"/>
  <c r="Y41" i="46" s="1" a="1"/>
  <c r="Y41" i="46" s="1"/>
  <c r="AB58" i="90"/>
  <c r="AC58" i="90"/>
  <c r="AD58" i="90"/>
  <c r="AB41" i="46" s="1" a="1"/>
  <c r="AB41" i="46" s="1"/>
  <c r="AE58" i="90"/>
  <c r="AC41" i="46" s="1" a="1"/>
  <c r="AC41" i="46" s="1"/>
  <c r="AF58" i="90"/>
  <c r="AD41" i="46" s="1" a="1"/>
  <c r="AD41" i="46" s="1"/>
  <c r="AG58" i="90"/>
  <c r="AE41" i="46" s="1" a="1"/>
  <c r="AE41" i="46" s="1"/>
  <c r="AH58" i="90"/>
  <c r="E36" i="90"/>
  <c r="F36" i="90"/>
  <c r="G36" i="90"/>
  <c r="H36" i="90"/>
  <c r="I36" i="90"/>
  <c r="J36" i="90"/>
  <c r="K36" i="90"/>
  <c r="L36" i="90"/>
  <c r="M36" i="90"/>
  <c r="N36" i="90"/>
  <c r="O36" i="90"/>
  <c r="P36" i="90"/>
  <c r="Q36" i="90"/>
  <c r="R36" i="90"/>
  <c r="S36" i="90"/>
  <c r="T36" i="90"/>
  <c r="U36" i="90"/>
  <c r="V36" i="90"/>
  <c r="W36" i="90"/>
  <c r="X36" i="90"/>
  <c r="Y36" i="90"/>
  <c r="Z36" i="90"/>
  <c r="AA36" i="90"/>
  <c r="AB36" i="90"/>
  <c r="AC36" i="90"/>
  <c r="AD36" i="90"/>
  <c r="AE36" i="90"/>
  <c r="AF36" i="90"/>
  <c r="AG36" i="90"/>
  <c r="AH36" i="90"/>
  <c r="F14" i="90"/>
  <c r="G14" i="90"/>
  <c r="H14" i="90"/>
  <c r="I14" i="90"/>
  <c r="J14" i="90"/>
  <c r="K14" i="90"/>
  <c r="L14" i="90"/>
  <c r="M14" i="90"/>
  <c r="N14" i="90"/>
  <c r="O14" i="90"/>
  <c r="P14" i="90"/>
  <c r="Q14" i="90"/>
  <c r="R14" i="90"/>
  <c r="S14" i="90"/>
  <c r="T14" i="90"/>
  <c r="U14" i="90"/>
  <c r="V14" i="90"/>
  <c r="W14" i="90"/>
  <c r="X14" i="90"/>
  <c r="Y14" i="90"/>
  <c r="Z14" i="90"/>
  <c r="AA14" i="90"/>
  <c r="AB14" i="90"/>
  <c r="AC14" i="90"/>
  <c r="AD14" i="90"/>
  <c r="AE14" i="90"/>
  <c r="AF14" i="90"/>
  <c r="AG14" i="90"/>
  <c r="AH14" i="90"/>
  <c r="E14" i="90"/>
  <c r="AD66" i="90"/>
  <c r="AB57" i="46" s="1" a="1"/>
  <c r="AB57" i="46" s="1"/>
  <c r="R66" i="90"/>
  <c r="P57" i="46" s="1" a="1"/>
  <c r="P57" i="46" s="1"/>
  <c r="F66" i="90"/>
  <c r="D57" i="46" s="1" a="1"/>
  <c r="D57" i="46" s="1"/>
  <c r="L44" i="90"/>
  <c r="R44" i="90"/>
  <c r="S44" i="90"/>
  <c r="AE44" i="90"/>
  <c r="N60" i="90"/>
  <c r="L44" i="46" s="1" a="1"/>
  <c r="L44" i="46" s="1"/>
  <c r="V60" i="90"/>
  <c r="T44" i="46" s="1" a="1"/>
  <c r="T44" i="46" s="1"/>
  <c r="AA60" i="90"/>
  <c r="Y44" i="46" s="1" a="1"/>
  <c r="Y44" i="46" s="1"/>
  <c r="AE60" i="90"/>
  <c r="AC44" i="46" s="1" a="1"/>
  <c r="AC44" i="46" s="1"/>
  <c r="G60" i="90"/>
  <c r="E44" i="46" s="1" a="1"/>
  <c r="E44" i="46" s="1"/>
  <c r="AH38" i="90"/>
  <c r="J38" i="90"/>
  <c r="U38" i="90"/>
  <c r="AB38" i="90"/>
  <c r="E38" i="90"/>
  <c r="M81" i="90"/>
  <c r="Y81" i="90"/>
  <c r="I15" i="90"/>
  <c r="G43" i="46" s="1" a="1"/>
  <c r="G43" i="46" s="1"/>
  <c r="AA76" i="90"/>
  <c r="AB76" i="90"/>
  <c r="S76" i="90"/>
  <c r="P76" i="90"/>
  <c r="G76" i="90"/>
  <c r="AG76" i="90"/>
  <c r="AH76" i="90"/>
  <c r="J76" i="90"/>
  <c r="G54" i="90"/>
  <c r="J54" i="90"/>
  <c r="Q32" i="90"/>
  <c r="R32" i="90"/>
  <c r="S32" i="90"/>
  <c r="T32" i="90"/>
  <c r="O32" i="90"/>
  <c r="J32" i="90"/>
  <c r="L76" i="90"/>
  <c r="O76" i="90"/>
  <c r="V76" i="90"/>
  <c r="Y76" i="90"/>
  <c r="AD76" i="90"/>
  <c r="H76" i="90"/>
  <c r="U54" i="90"/>
  <c r="S28" i="46" s="1" a="1"/>
  <c r="S28" i="46" s="1"/>
  <c r="AE54" i="90"/>
  <c r="H54" i="90"/>
  <c r="L32" i="90"/>
  <c r="P32" i="90"/>
  <c r="V32" i="90"/>
  <c r="AB32" i="90"/>
  <c r="AD32" i="90"/>
  <c r="G32" i="90"/>
  <c r="W31" i="90"/>
  <c r="AH9" i="90"/>
  <c r="AF27" i="46" s="1" a="1"/>
  <c r="AF27" i="46" s="1"/>
  <c r="AE31" i="90"/>
  <c r="AD9" i="90"/>
  <c r="AB27" i="46" s="1" a="1"/>
  <c r="AB27" i="46" s="1"/>
  <c r="Z41" i="46" l="1" a="1"/>
  <c r="Z41" i="46" s="1"/>
  <c r="N41" i="46" a="1"/>
  <c r="N41" i="46" s="1"/>
  <c r="AA41" i="46" a="1"/>
  <c r="AA41" i="46" s="1"/>
  <c r="O41" i="46" a="1"/>
  <c r="O41" i="46" s="1"/>
  <c r="AC56" i="46" a="1"/>
  <c r="AC56" i="46" s="1"/>
  <c r="K56" i="46" a="1"/>
  <c r="K56" i="46" s="1"/>
  <c r="L41" i="46" a="1"/>
  <c r="L41" i="46" s="1"/>
  <c r="V56" i="46" a="1"/>
  <c r="V56" i="46" s="1"/>
  <c r="I56" i="46" a="1"/>
  <c r="I56" i="46" s="1"/>
  <c r="U56" i="46" a="1"/>
  <c r="U56" i="46" s="1"/>
  <c r="H56" i="46" a="1"/>
  <c r="H56" i="46" s="1"/>
  <c r="AF56" i="46" a="1"/>
  <c r="AF56" i="46" s="1"/>
  <c r="U41" i="46" a="1"/>
  <c r="U41" i="46" s="1"/>
  <c r="I41" i="46" a="1"/>
  <c r="I41" i="46" s="1"/>
  <c r="J56" i="46" a="1"/>
  <c r="J56" i="46" s="1"/>
  <c r="AF41" i="46" a="1"/>
  <c r="AF41" i="46" s="1"/>
  <c r="T41" i="46" a="1"/>
  <c r="T41" i="46" s="1"/>
  <c r="H41" i="46" a="1"/>
  <c r="H41" i="46" s="1"/>
  <c r="L82" i="90"/>
  <c r="Z82" i="90"/>
  <c r="O82" i="90"/>
  <c r="F82" i="90"/>
  <c r="R82" i="90"/>
  <c r="AD82" i="90"/>
  <c r="P82" i="90"/>
  <c r="I82" i="90"/>
  <c r="Q82" i="90"/>
  <c r="AH82" i="90"/>
  <c r="H82" i="90"/>
  <c r="T82" i="90"/>
  <c r="AG82" i="90"/>
  <c r="U82" i="90"/>
  <c r="AF82" i="90"/>
  <c r="J82" i="90"/>
  <c r="X82" i="90"/>
  <c r="K82" i="90"/>
  <c r="W82" i="90"/>
  <c r="N82" i="90"/>
  <c r="AH60" i="90"/>
  <c r="AF44" i="46" s="1" a="1"/>
  <c r="AF44" i="46" s="1"/>
  <c r="AG60" i="90"/>
  <c r="AE44" i="46" s="1" a="1"/>
  <c r="AE44" i="46" s="1"/>
  <c r="AF60" i="90"/>
  <c r="AD44" i="46" s="1" a="1"/>
  <c r="AD44" i="46" s="1"/>
  <c r="T38" i="90"/>
  <c r="X38" i="90"/>
  <c r="AE38" i="90"/>
  <c r="V38" i="90"/>
  <c r="Z38" i="90"/>
  <c r="R38" i="90"/>
  <c r="W38" i="90"/>
  <c r="Y38" i="90"/>
  <c r="AC38" i="90"/>
  <c r="AD38" i="90"/>
  <c r="E88" i="90"/>
  <c r="F88" i="90"/>
  <c r="G88" i="90"/>
  <c r="H88" i="90"/>
  <c r="I88" i="90"/>
  <c r="AD88" i="90"/>
  <c r="AE88" i="90"/>
  <c r="AF88" i="90"/>
  <c r="AG88" i="90"/>
  <c r="AH88" i="90"/>
  <c r="Y88" i="90"/>
  <c r="Z88" i="90"/>
  <c r="AA88" i="90"/>
  <c r="AB88" i="90"/>
  <c r="AC88" i="90"/>
  <c r="X88" i="90"/>
  <c r="T88" i="90"/>
  <c r="U88" i="90"/>
  <c r="V88" i="90"/>
  <c r="W88" i="90"/>
  <c r="O88" i="90"/>
  <c r="P88" i="90"/>
  <c r="Q88" i="90"/>
  <c r="R88" i="90"/>
  <c r="S88" i="90"/>
  <c r="M88" i="90"/>
  <c r="N88" i="90"/>
  <c r="L88" i="90"/>
  <c r="J88" i="90"/>
  <c r="K88" i="90"/>
  <c r="AA66" i="90"/>
  <c r="Y57" i="46" s="1" a="1"/>
  <c r="Y57" i="46" s="1"/>
  <c r="K44" i="90"/>
  <c r="N44" i="90"/>
  <c r="M44" i="90"/>
  <c r="G44" i="90"/>
  <c r="P44" i="90"/>
  <c r="AF76" i="90"/>
  <c r="R76" i="90"/>
  <c r="AE76" i="90"/>
  <c r="Q76" i="90"/>
  <c r="F76" i="90"/>
  <c r="W76" i="90"/>
  <c r="I76" i="90"/>
  <c r="Z76" i="90"/>
  <c r="E76" i="90"/>
  <c r="AC76" i="90"/>
  <c r="T76" i="90"/>
  <c r="N76" i="90"/>
  <c r="M76" i="90"/>
  <c r="K76" i="90"/>
  <c r="E54" i="90"/>
  <c r="C28" i="46" s="1" a="1"/>
  <c r="C28" i="46" s="1"/>
  <c r="F54" i="90"/>
  <c r="I54" i="90"/>
  <c r="G28" i="46" s="1" a="1"/>
  <c r="G28" i="46" s="1"/>
  <c r="V54" i="90"/>
  <c r="Q54" i="90"/>
  <c r="K32" i="90"/>
  <c r="Z32" i="90"/>
  <c r="AF32" i="90"/>
  <c r="AC32" i="90"/>
  <c r="AH32" i="90"/>
  <c r="E32" i="90"/>
  <c r="N32" i="90"/>
  <c r="AA32" i="90"/>
  <c r="Y32" i="90"/>
  <c r="U32" i="90"/>
  <c r="X32" i="90"/>
  <c r="AG32" i="90"/>
  <c r="AE32" i="90"/>
  <c r="I32" i="90"/>
  <c r="M32" i="90"/>
  <c r="F32" i="90"/>
  <c r="H32" i="90"/>
  <c r="T21" i="90"/>
  <c r="R56" i="46" s="1" a="1"/>
  <c r="R56" i="46" s="1"/>
  <c r="H21" i="90"/>
  <c r="F56" i="46" s="1" a="1"/>
  <c r="F56" i="46" s="1"/>
  <c r="AG21" i="90"/>
  <c r="AE56" i="46" s="1" a="1"/>
  <c r="AE56" i="46" s="1"/>
  <c r="Q21" i="90"/>
  <c r="O56" i="46" s="1" a="1"/>
  <c r="O56" i="46" s="1"/>
  <c r="AA21" i="90"/>
  <c r="Y56" i="46" s="1" a="1"/>
  <c r="Y56" i="46" s="1"/>
  <c r="AF21" i="90"/>
  <c r="AD56" i="46" s="1" a="1"/>
  <c r="AD56" i="46" s="1"/>
  <c r="P21" i="90"/>
  <c r="N56" i="46" s="1" a="1"/>
  <c r="N56" i="46" s="1"/>
  <c r="Z21" i="90"/>
  <c r="X56" i="46" s="1" a="1"/>
  <c r="X56" i="46" s="1"/>
  <c r="N21" i="90"/>
  <c r="L56" i="46" s="1" a="1"/>
  <c r="L56" i="46" s="1"/>
  <c r="Y21" i="90"/>
  <c r="W56" i="46" s="1" a="1"/>
  <c r="W56" i="46" s="1"/>
  <c r="M21" i="90"/>
  <c r="V21" i="90"/>
  <c r="T56" i="46" s="1" a="1"/>
  <c r="T56" i="46" s="1"/>
  <c r="J21" i="90"/>
  <c r="U21" i="90"/>
  <c r="S56" i="46" s="1" a="1"/>
  <c r="S56" i="46" s="1"/>
  <c r="I21" i="90"/>
  <c r="G56" i="46" s="1" a="1"/>
  <c r="G56" i="46" s="1"/>
  <c r="H15" i="90"/>
  <c r="F43" i="46" s="1" a="1"/>
  <c r="F43" i="46" s="1"/>
  <c r="H81" i="90"/>
  <c r="AD31" i="90"/>
  <c r="AH31" i="90"/>
  <c r="AE9" i="90"/>
  <c r="AC27" i="46" s="1" a="1"/>
  <c r="AC27" i="46" s="1"/>
  <c r="O9" i="90"/>
  <c r="M27" i="46" s="1" a="1"/>
  <c r="M27" i="46" s="1"/>
  <c r="AF9" i="90"/>
  <c r="AD27" i="46" s="1" a="1"/>
  <c r="AD27" i="46" s="1"/>
  <c r="AG9" i="90"/>
  <c r="AE27" i="46" s="1" a="1"/>
  <c r="AE27" i="46" s="1"/>
  <c r="AG31" i="90"/>
  <c r="AF31" i="90"/>
  <c r="M9" i="90"/>
  <c r="K27" i="46" s="1" a="1"/>
  <c r="K27" i="46" s="1"/>
  <c r="U31" i="90"/>
  <c r="H9" i="90"/>
  <c r="F27" i="46" s="1" a="1"/>
  <c r="F27" i="46" s="1"/>
  <c r="R31" i="90"/>
  <c r="Z9" i="90"/>
  <c r="X27" i="46" s="1" a="1"/>
  <c r="X27" i="46" s="1"/>
  <c r="Q31" i="90"/>
  <c r="I9" i="90"/>
  <c r="G27" i="46" s="1" a="1"/>
  <c r="G27" i="46" s="1"/>
  <c r="T9" i="90"/>
  <c r="R27" i="46" s="1" a="1"/>
  <c r="R27" i="46" s="1"/>
  <c r="K31" i="90"/>
  <c r="N9" i="90"/>
  <c r="L27" i="46" s="1" a="1"/>
  <c r="L27" i="46" s="1"/>
  <c r="AB9" i="90"/>
  <c r="Z27" i="46" s="1" a="1"/>
  <c r="Z27" i="46" s="1"/>
  <c r="Y9" i="90"/>
  <c r="W27" i="46" s="1" a="1"/>
  <c r="W27" i="46" s="1"/>
  <c r="U9" i="90"/>
  <c r="S27" i="46" s="1" a="1"/>
  <c r="S27" i="46" s="1"/>
  <c r="O31" i="90"/>
  <c r="S9" i="90"/>
  <c r="Q27" i="46" s="1" a="1"/>
  <c r="Q27" i="46" s="1"/>
  <c r="AC31" i="90"/>
  <c r="J31" i="90"/>
  <c r="V31" i="90"/>
  <c r="P31" i="90"/>
  <c r="R9" i="90"/>
  <c r="P27" i="46" s="1" a="1"/>
  <c r="P27" i="46" s="1"/>
  <c r="AB31" i="90"/>
  <c r="H31" i="90"/>
  <c r="T31" i="90"/>
  <c r="P9" i="90"/>
  <c r="N27" i="46" s="1" a="1"/>
  <c r="N27" i="46" s="1"/>
  <c r="AC9" i="90"/>
  <c r="AA27" i="46" s="1" a="1"/>
  <c r="AA27" i="46" s="1"/>
  <c r="Q9" i="90"/>
  <c r="O27" i="46" s="1" a="1"/>
  <c r="O27" i="46" s="1"/>
  <c r="S31" i="90"/>
  <c r="Z31" i="90"/>
  <c r="W9" i="90"/>
  <c r="U27" i="46" s="1" a="1"/>
  <c r="U27" i="46" s="1"/>
  <c r="K9" i="90"/>
  <c r="I27" i="46" s="1" a="1"/>
  <c r="I27" i="46" s="1"/>
  <c r="Y31" i="90"/>
  <c r="M31" i="90"/>
  <c r="X9" i="90"/>
  <c r="V27" i="46" s="1" a="1"/>
  <c r="V27" i="46" s="1"/>
  <c r="L9" i="90"/>
  <c r="J27" i="46" s="1" a="1"/>
  <c r="J27" i="46" s="1"/>
  <c r="N31" i="90"/>
  <c r="V9" i="90"/>
  <c r="T27" i="46" s="1" a="1"/>
  <c r="T27" i="46" s="1"/>
  <c r="J9" i="90"/>
  <c r="H27" i="46" s="1" a="1"/>
  <c r="H27" i="46" s="1"/>
  <c r="X31" i="90"/>
  <c r="L31" i="90"/>
  <c r="I31" i="90"/>
  <c r="Q38" i="90"/>
  <c r="M60" i="90"/>
  <c r="K44" i="46" s="1" a="1"/>
  <c r="K44" i="46" s="1"/>
  <c r="Y60" i="90"/>
  <c r="I66" i="90"/>
  <c r="G57" i="46" s="1" a="1"/>
  <c r="G57" i="46" s="1"/>
  <c r="Q66" i="90"/>
  <c r="O57" i="46" s="1" a="1"/>
  <c r="O57" i="46" s="1"/>
  <c r="AH66" i="90"/>
  <c r="AF57" i="46" s="1" a="1"/>
  <c r="AF57" i="46" s="1"/>
  <c r="L60" i="90"/>
  <c r="J44" i="46" s="1" a="1"/>
  <c r="J44" i="46" s="1"/>
  <c r="Z60" i="90"/>
  <c r="X44" i="46" s="1" a="1"/>
  <c r="X44" i="46" s="1"/>
  <c r="Z44" i="90"/>
  <c r="H66" i="90"/>
  <c r="F57" i="46" s="1" a="1"/>
  <c r="F57" i="46" s="1"/>
  <c r="AG66" i="90"/>
  <c r="AE57" i="46" s="1" a="1"/>
  <c r="AE57" i="46" s="1"/>
  <c r="T54" i="90"/>
  <c r="K54" i="90"/>
  <c r="Z54" i="90"/>
  <c r="O60" i="90"/>
  <c r="M44" i="46" s="1" a="1"/>
  <c r="M44" i="46" s="1"/>
  <c r="AC60" i="90"/>
  <c r="AA44" i="46" s="1" a="1"/>
  <c r="AA44" i="46" s="1"/>
  <c r="AC44" i="90"/>
  <c r="G66" i="90"/>
  <c r="E57" i="46" s="1" a="1"/>
  <c r="E57" i="46" s="1"/>
  <c r="U66" i="90"/>
  <c r="S57" i="46" s="1" a="1"/>
  <c r="S57" i="46" s="1"/>
  <c r="AF66" i="90"/>
  <c r="AD57" i="46" s="1" a="1"/>
  <c r="AD57" i="46" s="1"/>
  <c r="P60" i="90"/>
  <c r="N44" i="46" s="1" a="1"/>
  <c r="N44" i="46" s="1"/>
  <c r="AB60" i="90"/>
  <c r="Z44" i="46" s="1" a="1"/>
  <c r="Z44" i="46" s="1"/>
  <c r="AB44" i="90"/>
  <c r="X66" i="90"/>
  <c r="V57" i="46" s="1" a="1"/>
  <c r="V57" i="46" s="1"/>
  <c r="AE66" i="90"/>
  <c r="AC57" i="46" s="1" a="1"/>
  <c r="AC57" i="46" s="1"/>
  <c r="W32" i="90"/>
  <c r="AD54" i="90"/>
  <c r="M54" i="90"/>
  <c r="AB54" i="90"/>
  <c r="U76" i="90"/>
  <c r="Z15" i="90"/>
  <c r="X43" i="46" s="1" a="1"/>
  <c r="X43" i="46" s="1"/>
  <c r="M15" i="90"/>
  <c r="K43" i="46" s="1" a="1"/>
  <c r="K43" i="46" s="1"/>
  <c r="AB81" i="90"/>
  <c r="P81" i="90"/>
  <c r="K38" i="90"/>
  <c r="E60" i="90"/>
  <c r="C44" i="46" s="1" a="1"/>
  <c r="C44" i="46" s="1"/>
  <c r="S60" i="90"/>
  <c r="Q44" i="46" s="1" a="1"/>
  <c r="Q44" i="46" s="1"/>
  <c r="E44" i="90"/>
  <c r="AA44" i="90"/>
  <c r="K66" i="90"/>
  <c r="I57" i="46" s="1" a="1"/>
  <c r="I57" i="46" s="1"/>
  <c r="W66" i="90"/>
  <c r="U57" i="46" s="1" a="1"/>
  <c r="U57" i="46" s="1"/>
  <c r="Y54" i="90"/>
  <c r="N54" i="90"/>
  <c r="AC54" i="90"/>
  <c r="AH54" i="90"/>
  <c r="L54" i="90"/>
  <c r="AA54" i="90"/>
  <c r="X76" i="90"/>
  <c r="Y15" i="90"/>
  <c r="W43" i="46" s="1" a="1"/>
  <c r="W43" i="46" s="1"/>
  <c r="L15" i="90"/>
  <c r="J43" i="46" s="1" a="1"/>
  <c r="J43" i="46" s="1"/>
  <c r="AA81" i="90"/>
  <c r="O81" i="90"/>
  <c r="N38" i="90"/>
  <c r="F60" i="90"/>
  <c r="D44" i="46" s="1" a="1"/>
  <c r="D44" i="46" s="1"/>
  <c r="R60" i="90"/>
  <c r="P44" i="46" s="1" a="1"/>
  <c r="P44" i="46" s="1"/>
  <c r="F44" i="90"/>
  <c r="AD44" i="90"/>
  <c r="N66" i="90"/>
  <c r="L57" i="46" s="1" a="1"/>
  <c r="L57" i="46" s="1"/>
  <c r="V66" i="90"/>
  <c r="T57" i="46" s="1" a="1"/>
  <c r="T57" i="46" s="1"/>
  <c r="X54" i="90"/>
  <c r="O54" i="90"/>
  <c r="F38" i="90"/>
  <c r="M38" i="90"/>
  <c r="I60" i="90"/>
  <c r="G44" i="46" s="1" a="1"/>
  <c r="G44" i="46" s="1"/>
  <c r="Q60" i="90"/>
  <c r="O44" i="46" s="1" a="1"/>
  <c r="O44" i="46" s="1"/>
  <c r="I44" i="90"/>
  <c r="AH44" i="90"/>
  <c r="M66" i="90"/>
  <c r="K57" i="46" s="1" a="1"/>
  <c r="K57" i="46" s="1"/>
  <c r="Y66" i="90"/>
  <c r="W57" i="46" s="1" a="1"/>
  <c r="W57" i="46" s="1"/>
  <c r="W54" i="90"/>
  <c r="AG54" i="90"/>
  <c r="P54" i="90"/>
  <c r="AF54" i="90"/>
  <c r="S54" i="90"/>
  <c r="W15" i="90"/>
  <c r="U43" i="46" s="1" a="1"/>
  <c r="U43" i="46" s="1"/>
  <c r="S15" i="90"/>
  <c r="Q43" i="46" s="1" a="1"/>
  <c r="Q43" i="46" s="1"/>
  <c r="Y16" i="90"/>
  <c r="I38" i="90"/>
  <c r="L38" i="90"/>
  <c r="H60" i="90"/>
  <c r="F44" i="46" s="1" a="1"/>
  <c r="F44" i="46" s="1"/>
  <c r="T60" i="90"/>
  <c r="R44" i="46" s="1" a="1"/>
  <c r="R44" i="46" s="1"/>
  <c r="H44" i="90"/>
  <c r="AG44" i="90"/>
  <c r="L66" i="90"/>
  <c r="J57" i="46" s="1" a="1"/>
  <c r="J57" i="46" s="1"/>
  <c r="Z66" i="90"/>
  <c r="X57" i="46" s="1" a="1"/>
  <c r="X57" i="46" s="1"/>
  <c r="R54" i="90"/>
  <c r="H38" i="90"/>
  <c r="O38" i="90"/>
  <c r="U60" i="90"/>
  <c r="S44" i="46" s="1" a="1"/>
  <c r="S44" i="46" s="1"/>
  <c r="AF44" i="90"/>
  <c r="O66" i="90"/>
  <c r="M57" i="46" s="1" a="1"/>
  <c r="M57" i="46" s="1"/>
  <c r="AC66" i="90"/>
  <c r="AA57" i="46" s="1" a="1"/>
  <c r="AA57" i="46" s="1"/>
  <c r="G38" i="90"/>
  <c r="P38" i="90"/>
  <c r="X60" i="90"/>
  <c r="V44" i="46" s="1" a="1"/>
  <c r="V44" i="46" s="1"/>
  <c r="P66" i="90"/>
  <c r="N57" i="46" s="1" a="1"/>
  <c r="N57" i="46" s="1"/>
  <c r="AB66" i="90"/>
  <c r="Z57" i="46" s="1" a="1"/>
  <c r="Z57" i="46" s="1"/>
  <c r="S38" i="90"/>
  <c r="K60" i="90"/>
  <c r="I44" i="46" s="1" a="1"/>
  <c r="I44" i="46" s="1"/>
  <c r="W60" i="90"/>
  <c r="U44" i="46" s="1" a="1"/>
  <c r="U44" i="46" s="1"/>
  <c r="E66" i="90"/>
  <c r="C57" i="46" s="1" a="1"/>
  <c r="C57" i="46" s="1"/>
  <c r="S66" i="90"/>
  <c r="Q57" i="46" s="1" a="1"/>
  <c r="Q57" i="46" s="1"/>
  <c r="W44" i="46" l="1" a="1"/>
  <c r="W44" i="46" s="1"/>
  <c r="H58" i="93"/>
  <c r="A62" i="46" l="1"/>
  <c r="A61" i="46"/>
  <c r="A60" i="46"/>
  <c r="A48" i="46"/>
  <c r="A49" i="46"/>
  <c r="A47" i="46"/>
  <c r="A31" i="46"/>
  <c r="C63" i="46"/>
  <c r="C62" i="46"/>
  <c r="D62" i="46" s="1"/>
  <c r="E62" i="46" s="1"/>
  <c r="F62" i="46" s="1"/>
  <c r="G62" i="46" s="1"/>
  <c r="H62" i="46" s="1"/>
  <c r="I62" i="46" s="1"/>
  <c r="J62" i="46" s="1"/>
  <c r="K62" i="46" s="1"/>
  <c r="L62" i="46" s="1"/>
  <c r="M62" i="46" s="1"/>
  <c r="N62" i="46" s="1"/>
  <c r="O62" i="46" s="1"/>
  <c r="P62" i="46" s="1"/>
  <c r="Q62" i="46" s="1"/>
  <c r="R62" i="46" s="1"/>
  <c r="S62" i="46" s="1"/>
  <c r="T62" i="46" s="1"/>
  <c r="U62" i="46" s="1"/>
  <c r="V62" i="46" s="1"/>
  <c r="W62" i="46" s="1"/>
  <c r="X62" i="46" s="1"/>
  <c r="Y62" i="46" s="1"/>
  <c r="Z62" i="46" s="1"/>
  <c r="AA62" i="46" s="1"/>
  <c r="AB62" i="46" s="1"/>
  <c r="AC62" i="46" s="1"/>
  <c r="AD62" i="46" s="1"/>
  <c r="AE62" i="46" s="1"/>
  <c r="AF62" i="46" s="1"/>
  <c r="C61" i="46"/>
  <c r="D61" i="46" s="1"/>
  <c r="E61" i="46" s="1"/>
  <c r="F61" i="46" s="1"/>
  <c r="G61" i="46" s="1"/>
  <c r="H61" i="46" s="1"/>
  <c r="I61" i="46" s="1"/>
  <c r="J61" i="46" s="1"/>
  <c r="K61" i="46" s="1"/>
  <c r="L61" i="46" s="1"/>
  <c r="M61" i="46" s="1"/>
  <c r="N61" i="46" s="1"/>
  <c r="O61" i="46" s="1"/>
  <c r="P61" i="46" s="1"/>
  <c r="Q61" i="46" s="1"/>
  <c r="R61" i="46" s="1"/>
  <c r="S61" i="46" s="1"/>
  <c r="T61" i="46" s="1"/>
  <c r="U61" i="46" s="1"/>
  <c r="V61" i="46" s="1"/>
  <c r="W61" i="46" s="1"/>
  <c r="X61" i="46" s="1"/>
  <c r="Y61" i="46" s="1"/>
  <c r="Z61" i="46" s="1"/>
  <c r="AA61" i="46" s="1"/>
  <c r="AB61" i="46" s="1"/>
  <c r="AC61" i="46" s="1"/>
  <c r="AD61" i="46" s="1"/>
  <c r="AE61" i="46" s="1"/>
  <c r="AF61" i="46" s="1"/>
  <c r="C50" i="46"/>
  <c r="C49" i="46"/>
  <c r="D49" i="46" s="1"/>
  <c r="E49" i="46" s="1"/>
  <c r="F49" i="46" s="1"/>
  <c r="G49" i="46" s="1"/>
  <c r="H49" i="46" s="1"/>
  <c r="I49" i="46" s="1"/>
  <c r="J49" i="46" s="1"/>
  <c r="K49" i="46" s="1"/>
  <c r="L49" i="46" s="1"/>
  <c r="M49" i="46" s="1"/>
  <c r="N49" i="46" s="1"/>
  <c r="O49" i="46" s="1"/>
  <c r="P49" i="46" s="1"/>
  <c r="Q49" i="46" s="1"/>
  <c r="R49" i="46" s="1"/>
  <c r="S49" i="46" s="1"/>
  <c r="T49" i="46" s="1"/>
  <c r="U49" i="46" s="1"/>
  <c r="V49" i="46" s="1"/>
  <c r="W49" i="46" s="1"/>
  <c r="X49" i="46" s="1"/>
  <c r="Y49" i="46" s="1"/>
  <c r="Z49" i="46" s="1"/>
  <c r="AA49" i="46" s="1"/>
  <c r="AB49" i="46" s="1"/>
  <c r="AC49" i="46" s="1"/>
  <c r="AD49" i="46" s="1"/>
  <c r="AE49" i="46" s="1"/>
  <c r="AF49" i="46" s="1"/>
  <c r="C48" i="46"/>
  <c r="D48" i="46" s="1"/>
  <c r="E48" i="46" s="1"/>
  <c r="F48" i="46" s="1"/>
  <c r="G48" i="46" s="1"/>
  <c r="H48" i="46" s="1"/>
  <c r="I48" i="46" s="1"/>
  <c r="J48" i="46" s="1"/>
  <c r="K48" i="46" s="1"/>
  <c r="L48" i="46" s="1"/>
  <c r="M48" i="46" s="1"/>
  <c r="N48" i="46" s="1"/>
  <c r="O48" i="46" s="1"/>
  <c r="P48" i="46" s="1"/>
  <c r="Q48" i="46" s="1"/>
  <c r="R48" i="46" s="1"/>
  <c r="S48" i="46" s="1"/>
  <c r="T48" i="46" s="1"/>
  <c r="U48" i="46" s="1"/>
  <c r="V48" i="46" s="1"/>
  <c r="W48" i="46" s="1"/>
  <c r="X48" i="46" s="1"/>
  <c r="Y48" i="46" s="1"/>
  <c r="Z48" i="46" s="1"/>
  <c r="AA48" i="46" s="1"/>
  <c r="AB48" i="46" s="1"/>
  <c r="AC48" i="46" s="1"/>
  <c r="AD48" i="46" s="1"/>
  <c r="AE48" i="46" s="1"/>
  <c r="AF48" i="46" s="1"/>
  <c r="D63" i="46" l="1"/>
  <c r="H71" i="93"/>
  <c r="D50" i="46"/>
  <c r="H65" i="93"/>
  <c r="D32" i="46"/>
  <c r="E32" i="46" s="1"/>
  <c r="F32" i="46" s="1"/>
  <c r="G32" i="46" s="1"/>
  <c r="H32" i="46" s="1"/>
  <c r="I32" i="46" s="1"/>
  <c r="J32" i="46" s="1"/>
  <c r="K32" i="46" s="1"/>
  <c r="L32" i="46" s="1"/>
  <c r="M32" i="46" s="1"/>
  <c r="N32" i="46" s="1"/>
  <c r="O32" i="46" s="1"/>
  <c r="P32" i="46" s="1"/>
  <c r="Q32" i="46" s="1"/>
  <c r="R32" i="46" s="1"/>
  <c r="S32" i="46" s="1"/>
  <c r="T32" i="46" s="1"/>
  <c r="U32" i="46" s="1"/>
  <c r="V32" i="46" s="1"/>
  <c r="W32" i="46" s="1"/>
  <c r="X32" i="46" s="1"/>
  <c r="Y32" i="46" s="1"/>
  <c r="Z32" i="46" s="1"/>
  <c r="AA32" i="46" s="1"/>
  <c r="AB32" i="46" s="1"/>
  <c r="AC32" i="46" s="1"/>
  <c r="AD32" i="46" s="1"/>
  <c r="AE32" i="46" s="1"/>
  <c r="AF32" i="46" s="1"/>
  <c r="D33" i="46"/>
  <c r="E33" i="46" s="1"/>
  <c r="F33" i="46" s="1"/>
  <c r="G33" i="46" s="1"/>
  <c r="H33" i="46" s="1"/>
  <c r="I33" i="46" s="1"/>
  <c r="J33" i="46" s="1"/>
  <c r="K33" i="46" s="1"/>
  <c r="L33" i="46" s="1"/>
  <c r="M33" i="46" s="1"/>
  <c r="N33" i="46" s="1"/>
  <c r="O33" i="46" s="1"/>
  <c r="P33" i="46" s="1"/>
  <c r="Q33" i="46" s="1"/>
  <c r="R33" i="46" s="1"/>
  <c r="S33" i="46" s="1"/>
  <c r="T33" i="46" s="1"/>
  <c r="U33" i="46" s="1"/>
  <c r="V33" i="46" s="1"/>
  <c r="W33" i="46" s="1"/>
  <c r="X33" i="46" s="1"/>
  <c r="Y33" i="46" s="1"/>
  <c r="Z33" i="46" s="1"/>
  <c r="AA33" i="46" s="1"/>
  <c r="AB33" i="46" s="1"/>
  <c r="AC33" i="46" s="1"/>
  <c r="AD33" i="46" s="1"/>
  <c r="AE33" i="46" s="1"/>
  <c r="AF33" i="46" s="1"/>
  <c r="A32" i="46"/>
  <c r="A33" i="46"/>
  <c r="O44" i="93" a="1"/>
  <c r="N44" i="93" a="1"/>
  <c r="H51" i="93" a="1"/>
  <c r="H44" i="93" a="1"/>
  <c r="P44" i="93" a="1"/>
  <c r="J51" i="93" a="1"/>
  <c r="N51" i="93" a="1"/>
  <c r="I44" i="93" a="1"/>
  <c r="K51" i="93" a="1"/>
  <c r="J44" i="93" a="1"/>
  <c r="J37" i="93" a="1"/>
  <c r="M44" i="93" a="1"/>
  <c r="O51" i="93" a="1"/>
  <c r="H37" i="93" a="1"/>
  <c r="M51" i="93" a="1"/>
  <c r="L44" i="93" a="1"/>
  <c r="P51" i="93" a="1"/>
  <c r="I51" i="93" a="1"/>
  <c r="L51" i="93" a="1"/>
  <c r="K44" i="93" a="1"/>
  <c r="I37" i="93" a="1"/>
  <c r="D34" i="46" l="1"/>
  <c r="E34" i="46" s="1"/>
  <c r="F34" i="46" s="1"/>
  <c r="G34" i="46" s="1"/>
  <c r="H34" i="46" s="1"/>
  <c r="I34" i="46" s="1"/>
  <c r="J34" i="46" s="1"/>
  <c r="K34" i="46" s="1"/>
  <c r="L34" i="46" s="1"/>
  <c r="M34" i="46" s="1"/>
  <c r="N34" i="46" s="1"/>
  <c r="O34" i="46" s="1"/>
  <c r="P34" i="46" s="1"/>
  <c r="Q34" i="46" s="1"/>
  <c r="R34" i="46" s="1"/>
  <c r="S34" i="46" s="1"/>
  <c r="T34" i="46" s="1"/>
  <c r="U34" i="46" s="1"/>
  <c r="V34" i="46" s="1"/>
  <c r="W34" i="46" s="1"/>
  <c r="X34" i="46" s="1"/>
  <c r="Y34" i="46" s="1"/>
  <c r="Z34" i="46" s="1"/>
  <c r="AA34" i="46" s="1"/>
  <c r="AB34" i="46" s="1"/>
  <c r="AC34" i="46" s="1"/>
  <c r="AD34" i="46" s="1"/>
  <c r="AE34" i="46" s="1"/>
  <c r="AF34" i="46" s="1"/>
  <c r="H59" i="93"/>
  <c r="H60" i="93" s="1"/>
  <c r="H61" i="93" s="1"/>
  <c r="H213" i="93" s="1"/>
  <c r="E50" i="46"/>
  <c r="I65" i="93"/>
  <c r="E63" i="46"/>
  <c r="I71" i="93"/>
  <c r="AK22" i="93"/>
  <c r="Y22" i="93"/>
  <c r="M22" i="93"/>
  <c r="T22" i="93"/>
  <c r="O22" i="93"/>
  <c r="AJ22" i="93"/>
  <c r="X22" i="93"/>
  <c r="L22" i="93"/>
  <c r="N22" i="93"/>
  <c r="AI22" i="93"/>
  <c r="W22" i="93"/>
  <c r="K22" i="93"/>
  <c r="AH22" i="93"/>
  <c r="V22" i="93"/>
  <c r="J22" i="93"/>
  <c r="AG22" i="93"/>
  <c r="U22" i="93"/>
  <c r="I22" i="93"/>
  <c r="AA22" i="93"/>
  <c r="AF22" i="93"/>
  <c r="AE22" i="93"/>
  <c r="S22" i="93"/>
  <c r="AD22" i="93"/>
  <c r="R22" i="93"/>
  <c r="AB22" i="93"/>
  <c r="P22" i="93"/>
  <c r="AC22" i="93"/>
  <c r="Q22" i="93"/>
  <c r="Z22" i="93"/>
  <c r="AK20" i="93"/>
  <c r="Y20" i="93"/>
  <c r="M20" i="93"/>
  <c r="AJ20" i="93"/>
  <c r="X20" i="93"/>
  <c r="L20" i="93"/>
  <c r="AI20" i="93"/>
  <c r="W20" i="93"/>
  <c r="K20" i="93"/>
  <c r="P20" i="93"/>
  <c r="AA20" i="93"/>
  <c r="AH20" i="93"/>
  <c r="V20" i="93"/>
  <c r="J20" i="93"/>
  <c r="AG20" i="93"/>
  <c r="U20" i="93"/>
  <c r="I20" i="93"/>
  <c r="AF20" i="93"/>
  <c r="T20" i="93"/>
  <c r="AB20" i="93"/>
  <c r="O20" i="93"/>
  <c r="AE20" i="93"/>
  <c r="S20" i="93"/>
  <c r="R20" i="93"/>
  <c r="AC20" i="93"/>
  <c r="Q20" i="93"/>
  <c r="AD20" i="93"/>
  <c r="Z20" i="93"/>
  <c r="N20" i="93"/>
  <c r="AK113" i="93"/>
  <c r="AK155" i="93" s="1"/>
  <c r="Y113" i="93"/>
  <c r="J113" i="93"/>
  <c r="Q113" i="93"/>
  <c r="AD113" i="93"/>
  <c r="AD219" i="93" s="1"/>
  <c r="S113" i="93"/>
  <c r="AI113" i="93"/>
  <c r="AI155" i="93" s="1"/>
  <c r="U113" i="93"/>
  <c r="N113" i="93"/>
  <c r="AG113" i="93"/>
  <c r="AG155" i="93" s="1"/>
  <c r="W113" i="93"/>
  <c r="I113" i="93"/>
  <c r="AC113" i="93"/>
  <c r="AC155" i="93" s="1"/>
  <c r="AB113" i="93"/>
  <c r="AJ113" i="93"/>
  <c r="X113" i="93"/>
  <c r="X219" i="93" s="1"/>
  <c r="L113" i="93"/>
  <c r="V113" i="93"/>
  <c r="Z113" i="93"/>
  <c r="Z219" i="93" s="1"/>
  <c r="AE113" i="93"/>
  <c r="AE155" i="93" s="1"/>
  <c r="K113" i="93"/>
  <c r="R113" i="93"/>
  <c r="P113" i="93"/>
  <c r="O113" i="93"/>
  <c r="M113" i="93"/>
  <c r="AF113" i="93"/>
  <c r="AA113" i="93"/>
  <c r="T113" i="93"/>
  <c r="AH113" i="93"/>
  <c r="AH251" i="93" s="1"/>
  <c r="H113" i="93"/>
  <c r="H37" i="93"/>
  <c r="H39" i="93" s="1"/>
  <c r="H41" i="93" s="1"/>
  <c r="AK30" i="93"/>
  <c r="I79" i="93"/>
  <c r="H92" i="93"/>
  <c r="P86" i="93"/>
  <c r="J59" i="93"/>
  <c r="H51" i="93"/>
  <c r="H44" i="93"/>
  <c r="I44" i="93"/>
  <c r="I46" i="93" s="1"/>
  <c r="I51" i="93"/>
  <c r="J44" i="93"/>
  <c r="J46" i="93" s="1"/>
  <c r="J51" i="93"/>
  <c r="K51" i="93"/>
  <c r="K44" i="93"/>
  <c r="K46" i="93" s="1"/>
  <c r="L44" i="93"/>
  <c r="L46" i="93" s="1"/>
  <c r="L51" i="93"/>
  <c r="M51" i="93"/>
  <c r="M44" i="93"/>
  <c r="M46" i="93" s="1"/>
  <c r="N44" i="93"/>
  <c r="N46" i="93" s="1"/>
  <c r="N51" i="93"/>
  <c r="O51" i="93"/>
  <c r="I37" i="93"/>
  <c r="I39" i="93" s="1"/>
  <c r="O44" i="93"/>
  <c r="O46" i="93" s="1"/>
  <c r="B45" i="93"/>
  <c r="B52" i="93"/>
  <c r="AD155" i="93"/>
  <c r="AC30" i="93"/>
  <c r="AA29" i="93"/>
  <c r="AF30" i="93"/>
  <c r="V30" i="93"/>
  <c r="U28" i="93"/>
  <c r="AA28" i="93"/>
  <c r="T144" i="93"/>
  <c r="AI79" i="93"/>
  <c r="AI80" i="93" s="1"/>
  <c r="AI81" i="93" s="1"/>
  <c r="AH64" i="93"/>
  <c r="AC93" i="93"/>
  <c r="AD79" i="93"/>
  <c r="AG78" i="93"/>
  <c r="AA105" i="93"/>
  <c r="AH102" i="93"/>
  <c r="Y102" i="93"/>
  <c r="AJ59" i="93"/>
  <c r="W93" i="93"/>
  <c r="Y93" i="93"/>
  <c r="AE105" i="93"/>
  <c r="Y59" i="93"/>
  <c r="Y155" i="93"/>
  <c r="AA155" i="93"/>
  <c r="AF29" i="93"/>
  <c r="AI30" i="93"/>
  <c r="AI29" i="93"/>
  <c r="R29" i="93"/>
  <c r="N30" i="93"/>
  <c r="M28" i="93"/>
  <c r="I28" i="93"/>
  <c r="O28" i="93"/>
  <c r="AB59" i="93"/>
  <c r="AE93" i="93"/>
  <c r="AJ79" i="93"/>
  <c r="W85" i="93"/>
  <c r="AA64" i="93"/>
  <c r="K240" i="93"/>
  <c r="Z144" i="93"/>
  <c r="Q240" i="93"/>
  <c r="L208" i="93"/>
  <c r="AB86" i="93"/>
  <c r="AA144" i="93"/>
  <c r="Z70" i="93"/>
  <c r="AE78" i="93"/>
  <c r="X78" i="93"/>
  <c r="AJ155" i="93"/>
  <c r="AB30" i="93"/>
  <c r="W30" i="93"/>
  <c r="W29" i="93"/>
  <c r="M30" i="93"/>
  <c r="AF28" i="93"/>
  <c r="Z28" i="93"/>
  <c r="AI78" i="93"/>
  <c r="AH59" i="93"/>
  <c r="AI144" i="93"/>
  <c r="AA85" i="93"/>
  <c r="AF59" i="93"/>
  <c r="AH78" i="93"/>
  <c r="AC134" i="93"/>
  <c r="AC135" i="93" s="1"/>
  <c r="AJ240" i="93"/>
  <c r="X99" i="93"/>
  <c r="AG70" i="93"/>
  <c r="AC59" i="93"/>
  <c r="AC78" i="93"/>
  <c r="AG64" i="93"/>
  <c r="Z64" i="93"/>
  <c r="Z85" i="93"/>
  <c r="X155" i="93"/>
  <c r="AB155" i="93"/>
  <c r="AE29" i="93"/>
  <c r="Z29" i="93"/>
  <c r="V29" i="93"/>
  <c r="J30" i="93"/>
  <c r="X28" i="93"/>
  <c r="T28" i="93"/>
  <c r="N28" i="93"/>
  <c r="AK78" i="93"/>
  <c r="AK85" i="93"/>
  <c r="Z59" i="93"/>
  <c r="AF144" i="93"/>
  <c r="AE70" i="93"/>
  <c r="R240" i="93"/>
  <c r="AB99" i="93"/>
  <c r="AB93" i="93"/>
  <c r="X59" i="93"/>
  <c r="X64" i="93"/>
  <c r="Y105" i="93"/>
  <c r="Z99" i="93"/>
  <c r="W155" i="93"/>
  <c r="AA30" i="93"/>
  <c r="AH29" i="93"/>
  <c r="O29" i="93"/>
  <c r="N29" i="93"/>
  <c r="T29" i="93"/>
  <c r="L28" i="93"/>
  <c r="AE28" i="93"/>
  <c r="AC70" i="93"/>
  <c r="AJ93" i="93"/>
  <c r="R208" i="93"/>
  <c r="AD86" i="93"/>
  <c r="H86" i="93"/>
  <c r="W144" i="93"/>
  <c r="Y78" i="93"/>
  <c r="AG219" i="93"/>
  <c r="Z105" i="93"/>
  <c r="AH70" i="93"/>
  <c r="AF64" i="93"/>
  <c r="J208" i="93"/>
  <c r="AB79" i="93"/>
  <c r="H93" i="93"/>
  <c r="AE79" i="93"/>
  <c r="Q134" i="93"/>
  <c r="AF105" i="93"/>
  <c r="AJ85" i="93"/>
  <c r="AA70" i="93"/>
  <c r="X85" i="93"/>
  <c r="AI102" i="93"/>
  <c r="AD29" i="93"/>
  <c r="AH30" i="93"/>
  <c r="I29" i="93"/>
  <c r="J29" i="93"/>
  <c r="T30" i="93"/>
  <c r="AI28" i="93"/>
  <c r="S28" i="93"/>
  <c r="AF79" i="93"/>
  <c r="AA99" i="93"/>
  <c r="AI105" i="93"/>
  <c r="AC64" i="93"/>
  <c r="AG134" i="93"/>
  <c r="AG135" i="93" s="1"/>
  <c r="AG144" i="93"/>
  <c r="AE86" i="93"/>
  <c r="AI59" i="93"/>
  <c r="M240" i="93"/>
  <c r="AG240" i="93"/>
  <c r="W86" i="93"/>
  <c r="AF78" i="93"/>
  <c r="Y144" i="93"/>
  <c r="Z30" i="93"/>
  <c r="AK29" i="93"/>
  <c r="K30" i="93"/>
  <c r="R30" i="93"/>
  <c r="U30" i="93"/>
  <c r="W28" i="93"/>
  <c r="AE59" i="93"/>
  <c r="AB102" i="93"/>
  <c r="AD78" i="93"/>
  <c r="AD80" i="93" s="1"/>
  <c r="AD81" i="93" s="1"/>
  <c r="AG102" i="93"/>
  <c r="AH144" i="93"/>
  <c r="AF240" i="93"/>
  <c r="AI70" i="93"/>
  <c r="AB78" i="93"/>
  <c r="AF70" i="93"/>
  <c r="AC29" i="93"/>
  <c r="Y29" i="93"/>
  <c r="S30" i="93"/>
  <c r="U29" i="93"/>
  <c r="P29" i="93"/>
  <c r="K28" i="93"/>
  <c r="R28" i="93"/>
  <c r="Q208" i="93"/>
  <c r="AD102" i="93"/>
  <c r="H208" i="93"/>
  <c r="AD134" i="93"/>
  <c r="AD135" i="93" s="1"/>
  <c r="Z78" i="93"/>
  <c r="O144" i="93"/>
  <c r="AF99" i="93"/>
  <c r="AE99" i="93"/>
  <c r="X105" i="93"/>
  <c r="AK105" i="93"/>
  <c r="AB134" i="93"/>
  <c r="AB135" i="93" s="1"/>
  <c r="Z102" i="93"/>
  <c r="Y64" i="93"/>
  <c r="AH93" i="93"/>
  <c r="Y85" i="93"/>
  <c r="Y79" i="93"/>
  <c r="W59" i="93"/>
  <c r="P208" i="93"/>
  <c r="AH79" i="93"/>
  <c r="AB105" i="93"/>
  <c r="AC102" i="93"/>
  <c r="Y30" i="93"/>
  <c r="AG30" i="93"/>
  <c r="O30" i="93"/>
  <c r="Q29" i="93"/>
  <c r="S29" i="93"/>
  <c r="AH28" i="93"/>
  <c r="AC28" i="93"/>
  <c r="T134" i="93"/>
  <c r="AE144" i="93"/>
  <c r="AG85" i="93"/>
  <c r="AF102" i="93"/>
  <c r="AJ78" i="93"/>
  <c r="AI134" i="93"/>
  <c r="AI135" i="93" s="1"/>
  <c r="AH86" i="93"/>
  <c r="AD105" i="93"/>
  <c r="AC85" i="93"/>
  <c r="X208" i="93"/>
  <c r="AF93" i="93"/>
  <c r="AG29" i="93"/>
  <c r="X30" i="93"/>
  <c r="AE30" i="93"/>
  <c r="P30" i="93"/>
  <c r="L30" i="93"/>
  <c r="AK28" i="93"/>
  <c r="AG28" i="93"/>
  <c r="P28" i="93"/>
  <c r="AD208" i="93"/>
  <c r="Y86" i="93"/>
  <c r="AD70" i="93"/>
  <c r="W79" i="93"/>
  <c r="AG86" i="93"/>
  <c r="AH105" i="93"/>
  <c r="AE85" i="93"/>
  <c r="AE102" i="93"/>
  <c r="N144" i="93"/>
  <c r="AE134" i="93"/>
  <c r="AE135" i="93" s="1"/>
  <c r="AJ208" i="93"/>
  <c r="Z134" i="93"/>
  <c r="Z135" i="93" s="1"/>
  <c r="AD85" i="93"/>
  <c r="AD87" i="93" s="1"/>
  <c r="AD88" i="93" s="1"/>
  <c r="AB85" i="93"/>
  <c r="AB87" i="93" s="1"/>
  <c r="AB88" i="93" s="1"/>
  <c r="AJ144" i="93"/>
  <c r="Z240" i="93"/>
  <c r="AF155" i="93"/>
  <c r="M29" i="93"/>
  <c r="Z86" i="93"/>
  <c r="P134" i="93"/>
  <c r="W99" i="93"/>
  <c r="AB64" i="93"/>
  <c r="Q144" i="93"/>
  <c r="AA251" i="93"/>
  <c r="J240" i="93"/>
  <c r="AA208" i="93"/>
  <c r="AC240" i="93"/>
  <c r="AF219" i="93"/>
  <c r="U144" i="93"/>
  <c r="X102" i="93"/>
  <c r="AK240" i="93"/>
  <c r="Q30" i="93"/>
  <c r="AI64" i="93"/>
  <c r="AK93" i="93"/>
  <c r="AA134" i="93"/>
  <c r="AA135" i="93" s="1"/>
  <c r="AD93" i="93"/>
  <c r="U208" i="93"/>
  <c r="S240" i="93"/>
  <c r="AK86" i="93"/>
  <c r="H144" i="93"/>
  <c r="L240" i="93"/>
  <c r="T208" i="93"/>
  <c r="AK134" i="93"/>
  <c r="AK135" i="93" s="1"/>
  <c r="I134" i="93"/>
  <c r="M144" i="93"/>
  <c r="K29" i="93"/>
  <c r="AK70" i="93"/>
  <c r="S144" i="93"/>
  <c r="I144" i="93"/>
  <c r="AG93" i="93"/>
  <c r="AK144" i="93"/>
  <c r="AH99" i="93"/>
  <c r="AA86" i="93"/>
  <c r="K208" i="93"/>
  <c r="X134" i="93"/>
  <c r="X135" i="93" s="1"/>
  <c r="P240" i="93"/>
  <c r="AF208" i="93"/>
  <c r="O134" i="93"/>
  <c r="AD59" i="93"/>
  <c r="AB144" i="93"/>
  <c r="AG105" i="93"/>
  <c r="AA93" i="93"/>
  <c r="Y208" i="93"/>
  <c r="I240" i="93"/>
  <c r="AD240" i="93"/>
  <c r="V240" i="93"/>
  <c r="AB70" i="93"/>
  <c r="Z208" i="93"/>
  <c r="S208" i="93"/>
  <c r="AD64" i="93"/>
  <c r="AJ70" i="93"/>
  <c r="AK102" i="93"/>
  <c r="AA102" i="93"/>
  <c r="AD144" i="93"/>
  <c r="M208" i="93"/>
  <c r="X70" i="93"/>
  <c r="L144" i="93"/>
  <c r="M134" i="93"/>
  <c r="AC208" i="93"/>
  <c r="AG79" i="93"/>
  <c r="AG80" i="93" s="1"/>
  <c r="AG81" i="93" s="1"/>
  <c r="Y251" i="93"/>
  <c r="P144" i="93"/>
  <c r="AK59" i="93"/>
  <c r="I208" i="93"/>
  <c r="AD30" i="93"/>
  <c r="Z93" i="93"/>
  <c r="U134" i="93"/>
  <c r="N134" i="93"/>
  <c r="AF134" i="93"/>
  <c r="AF135" i="93" s="1"/>
  <c r="AB29" i="93"/>
  <c r="AC86" i="93"/>
  <c r="X144" i="93"/>
  <c r="AJ219" i="93"/>
  <c r="AK79" i="93"/>
  <c r="AK80" i="93" s="1"/>
  <c r="AK81" i="93" s="1"/>
  <c r="AI93" i="93"/>
  <c r="H134" i="93"/>
  <c r="AA78" i="93"/>
  <c r="W219" i="93"/>
  <c r="W240" i="93"/>
  <c r="AJ102" i="93"/>
  <c r="N208" i="93"/>
  <c r="AB240" i="93"/>
  <c r="AK251" i="93"/>
  <c r="K144" i="93"/>
  <c r="AJ30" i="93"/>
  <c r="H123" i="93"/>
  <c r="Y99" i="93"/>
  <c r="AH134" i="93"/>
  <c r="AH135" i="93" s="1"/>
  <c r="L134" i="93"/>
  <c r="Y219" i="93"/>
  <c r="R134" i="93"/>
  <c r="AC144" i="93"/>
  <c r="AB219" i="93"/>
  <c r="AE208" i="93"/>
  <c r="AF251" i="93"/>
  <c r="AC79" i="93"/>
  <c r="AC80" i="93" s="1"/>
  <c r="AC81" i="93" s="1"/>
  <c r="AE240" i="93"/>
  <c r="AJ29" i="93"/>
  <c r="V28" i="93"/>
  <c r="AH240" i="93"/>
  <c r="S134" i="93"/>
  <c r="W78" i="93"/>
  <c r="AI86" i="93"/>
  <c r="AA240" i="93"/>
  <c r="X240" i="93"/>
  <c r="V208" i="93"/>
  <c r="J144" i="93"/>
  <c r="W102" i="93"/>
  <c r="L29" i="93"/>
  <c r="AC105" i="93"/>
  <c r="AK99" i="93"/>
  <c r="AF86" i="93"/>
  <c r="J134" i="93"/>
  <c r="Y134" i="93"/>
  <c r="Y135" i="93" s="1"/>
  <c r="W208" i="93"/>
  <c r="AA219" i="93"/>
  <c r="AK208" i="93"/>
  <c r="AI240" i="93"/>
  <c r="K134" i="93"/>
  <c r="Y240" i="93"/>
  <c r="O208" i="93"/>
  <c r="AG99" i="93"/>
  <c r="AB208" i="93"/>
  <c r="X86" i="93"/>
  <c r="AJ99" i="93"/>
  <c r="AJ64" i="93"/>
  <c r="AG251" i="93"/>
  <c r="AJ86" i="93"/>
  <c r="H240" i="93"/>
  <c r="AJ251" i="93"/>
  <c r="AK64" i="93"/>
  <c r="W105" i="93"/>
  <c r="AI208" i="93"/>
  <c r="X29" i="93"/>
  <c r="AG208" i="93"/>
  <c r="AA79" i="93"/>
  <c r="Y70" i="93"/>
  <c r="I30" i="93"/>
  <c r="X93" i="93"/>
  <c r="W64" i="93"/>
  <c r="AI85" i="93"/>
  <c r="AE64" i="93"/>
  <c r="AI99" i="93"/>
  <c r="AA59" i="93"/>
  <c r="AH85" i="93"/>
  <c r="AC99" i="93"/>
  <c r="X251" i="93"/>
  <c r="J28" i="93"/>
  <c r="R144" i="93"/>
  <c r="O240" i="93"/>
  <c r="X79" i="93"/>
  <c r="W251" i="93"/>
  <c r="T240" i="93"/>
  <c r="AJ134" i="93"/>
  <c r="AJ135" i="93" s="1"/>
  <c r="AG59" i="93"/>
  <c r="Q28" i="93"/>
  <c r="AJ105" i="93"/>
  <c r="AB251" i="93"/>
  <c r="W70" i="93"/>
  <c r="V144" i="93"/>
  <c r="AD99" i="93"/>
  <c r="U240" i="93"/>
  <c r="AH208" i="93"/>
  <c r="Z79" i="93"/>
  <c r="V134" i="93"/>
  <c r="N240" i="93"/>
  <c r="W134" i="93"/>
  <c r="W135" i="93" s="1"/>
  <c r="AF85" i="93"/>
  <c r="O105" i="93"/>
  <c r="AC92" i="93"/>
  <c r="H102" i="93"/>
  <c r="H217" i="93" s="1"/>
  <c r="M70" i="93"/>
  <c r="S102" i="93"/>
  <c r="P99" i="93"/>
  <c r="R102" i="93"/>
  <c r="S64" i="93"/>
  <c r="AE92" i="93"/>
  <c r="AD92" i="93"/>
  <c r="H70" i="93"/>
  <c r="O64" i="93"/>
  <c r="J64" i="93"/>
  <c r="V102" i="93"/>
  <c r="AH92" i="93"/>
  <c r="H78" i="93"/>
  <c r="V105" i="93"/>
  <c r="V64" i="93"/>
  <c r="AB92" i="93"/>
  <c r="O70" i="93"/>
  <c r="N99" i="93"/>
  <c r="J99" i="93"/>
  <c r="I99" i="93"/>
  <c r="AF92" i="93"/>
  <c r="L85" i="93"/>
  <c r="Q85" i="93"/>
  <c r="Q99" i="93"/>
  <c r="W92" i="93"/>
  <c r="X92" i="93"/>
  <c r="T102" i="93"/>
  <c r="U64" i="93"/>
  <c r="Q64" i="93"/>
  <c r="P64" i="93"/>
  <c r="AA92" i="93"/>
  <c r="I105" i="93"/>
  <c r="I70" i="93"/>
  <c r="O85" i="93"/>
  <c r="O78" i="93"/>
  <c r="R92" i="93"/>
  <c r="U85" i="93"/>
  <c r="O92" i="93"/>
  <c r="U78" i="93"/>
  <c r="M78" i="93"/>
  <c r="L99" i="93"/>
  <c r="V99" i="93"/>
  <c r="I64" i="93"/>
  <c r="J70" i="93"/>
  <c r="T70" i="93"/>
  <c r="T99" i="93"/>
  <c r="V78" i="93"/>
  <c r="I92" i="93"/>
  <c r="M92" i="93"/>
  <c r="Q78" i="93"/>
  <c r="P85" i="93"/>
  <c r="L92" i="93"/>
  <c r="R105" i="93"/>
  <c r="R78" i="93"/>
  <c r="J102" i="93"/>
  <c r="N64" i="93"/>
  <c r="AG92" i="93"/>
  <c r="N102" i="93"/>
  <c r="P102" i="93"/>
  <c r="M102" i="93"/>
  <c r="N105" i="93"/>
  <c r="V85" i="93"/>
  <c r="S85" i="93"/>
  <c r="I102" i="93"/>
  <c r="J105" i="93"/>
  <c r="O102" i="93"/>
  <c r="L70" i="93"/>
  <c r="Q105" i="93"/>
  <c r="Q102" i="93"/>
  <c r="H64" i="93"/>
  <c r="P105" i="93"/>
  <c r="U92" i="93"/>
  <c r="J78" i="93"/>
  <c r="J92" i="93"/>
  <c r="Z92" i="93"/>
  <c r="P78" i="93"/>
  <c r="AI92" i="93"/>
  <c r="M64" i="93"/>
  <c r="K70" i="93"/>
  <c r="L102" i="93"/>
  <c r="P70" i="93"/>
  <c r="M105" i="93"/>
  <c r="T64" i="93"/>
  <c r="R85" i="93"/>
  <c r="P92" i="93"/>
  <c r="J85" i="93"/>
  <c r="T92" i="93"/>
  <c r="S78" i="93"/>
  <c r="M99" i="93"/>
  <c r="N85" i="93"/>
  <c r="U99" i="93"/>
  <c r="T105" i="93"/>
  <c r="R70" i="93"/>
  <c r="S105" i="93"/>
  <c r="Q70" i="93"/>
  <c r="O99" i="93"/>
  <c r="S70" i="93"/>
  <c r="N92" i="93"/>
  <c r="L78" i="93"/>
  <c r="L64" i="93"/>
  <c r="K102" i="93"/>
  <c r="S92" i="93"/>
  <c r="R64" i="93"/>
  <c r="U70" i="93"/>
  <c r="AJ92" i="93"/>
  <c r="Y92" i="93"/>
  <c r="K64" i="93"/>
  <c r="N70" i="93"/>
  <c r="AK92" i="93"/>
  <c r="H99" i="93"/>
  <c r="H85" i="93"/>
  <c r="M85" i="93"/>
  <c r="T78" i="93"/>
  <c r="K85" i="93"/>
  <c r="N78" i="93"/>
  <c r="R99" i="93"/>
  <c r="U105" i="93"/>
  <c r="S99" i="93"/>
  <c r="V70" i="93"/>
  <c r="K99" i="93"/>
  <c r="L105" i="93"/>
  <c r="H105" i="93"/>
  <c r="H249" i="93" s="1"/>
  <c r="K105" i="93"/>
  <c r="I78" i="93"/>
  <c r="K78" i="93"/>
  <c r="T85" i="93"/>
  <c r="I85" i="93"/>
  <c r="K92" i="93"/>
  <c r="Q92" i="93"/>
  <c r="V92" i="93"/>
  <c r="U102" i="93"/>
  <c r="I86" i="93"/>
  <c r="I93" i="93"/>
  <c r="J93" i="93"/>
  <c r="J86" i="93"/>
  <c r="K93" i="93"/>
  <c r="K86" i="93"/>
  <c r="L86" i="93"/>
  <c r="L93" i="93"/>
  <c r="M93" i="93"/>
  <c r="M86" i="93"/>
  <c r="N86" i="93"/>
  <c r="N93" i="93"/>
  <c r="O86" i="93"/>
  <c r="O93" i="93"/>
  <c r="P93" i="93"/>
  <c r="I59" i="93"/>
  <c r="P44" i="93"/>
  <c r="P46" i="93" s="1"/>
  <c r="J37" i="93"/>
  <c r="J39" i="93" s="1"/>
  <c r="P51" i="93"/>
  <c r="Q93" i="93"/>
  <c r="Q86" i="93"/>
  <c r="J79" i="93"/>
  <c r="K59" i="93"/>
  <c r="AI44" i="93" a="1"/>
  <c r="AJ37" i="93" a="1"/>
  <c r="AG51" i="93" a="1"/>
  <c r="AE37" i="93" a="1"/>
  <c r="AD37" i="93" a="1"/>
  <c r="AF37" i="93" a="1"/>
  <c r="AE51" i="93" a="1"/>
  <c r="AC51" i="93" a="1"/>
  <c r="AK37" i="93" a="1"/>
  <c r="AD44" i="93" a="1"/>
  <c r="AH51" i="93" a="1"/>
  <c r="AF44" i="93" a="1"/>
  <c r="AH44" i="93" a="1"/>
  <c r="AG44" i="93" a="1"/>
  <c r="AJ44" i="93" a="1"/>
  <c r="AJ51" i="93" a="1"/>
  <c r="AI51" i="93" a="1"/>
  <c r="AF51" i="93" a="1"/>
  <c r="AC44" i="93" a="1"/>
  <c r="AG37" i="93" a="1"/>
  <c r="AB51" i="93" a="1"/>
  <c r="AI37" i="93" a="1"/>
  <c r="AK44" i="93" a="1"/>
  <c r="AH37" i="93" a="1"/>
  <c r="AB37" i="93" a="1"/>
  <c r="AC37" i="93" a="1"/>
  <c r="AB44" i="93" a="1"/>
  <c r="AD51" i="93" a="1"/>
  <c r="AK51" i="93" a="1"/>
  <c r="AE44" i="93" a="1"/>
  <c r="W51" i="93" a="1"/>
  <c r="Y51" i="93" a="1"/>
  <c r="Y44" i="93" a="1"/>
  <c r="W44" i="93" a="1"/>
  <c r="X44" i="93" a="1"/>
  <c r="Z37" i="93" a="1"/>
  <c r="X51" i="93" a="1"/>
  <c r="AA51" i="93" a="1"/>
  <c r="Y37" i="93" a="1"/>
  <c r="X37" i="93" a="1"/>
  <c r="AA37" i="93" a="1"/>
  <c r="AA44" i="93" a="1"/>
  <c r="W37" i="93" a="1"/>
  <c r="Z44" i="93" a="1"/>
  <c r="Z51" i="93" a="1"/>
  <c r="K37" i="93" a="1"/>
  <c r="Q44" i="93" a="1"/>
  <c r="Q51" i="93" a="1"/>
  <c r="M155" i="93" l="1"/>
  <c r="M251" i="93"/>
  <c r="M219" i="93"/>
  <c r="U219" i="93"/>
  <c r="U251" i="93"/>
  <c r="V251" i="93"/>
  <c r="V219" i="93"/>
  <c r="S251" i="93"/>
  <c r="S219" i="93"/>
  <c r="L155" i="93"/>
  <c r="L251" i="93"/>
  <c r="L219" i="93"/>
  <c r="J155" i="93"/>
  <c r="J251" i="93"/>
  <c r="J219" i="93"/>
  <c r="O251" i="93"/>
  <c r="O219" i="93"/>
  <c r="I251" i="93"/>
  <c r="I219" i="93"/>
  <c r="P155" i="93"/>
  <c r="P219" i="93"/>
  <c r="P251" i="93"/>
  <c r="R155" i="93"/>
  <c r="R219" i="93"/>
  <c r="R251" i="93"/>
  <c r="T155" i="93"/>
  <c r="T219" i="93"/>
  <c r="T251" i="93"/>
  <c r="Q219" i="93"/>
  <c r="Q251" i="93"/>
  <c r="K155" i="93"/>
  <c r="K219" i="93"/>
  <c r="K251" i="93"/>
  <c r="N251" i="93"/>
  <c r="N219" i="93"/>
  <c r="I66" i="93"/>
  <c r="H148" i="93"/>
  <c r="AH155" i="93"/>
  <c r="AH219" i="93"/>
  <c r="AG94" i="93"/>
  <c r="AG95" i="93" s="1"/>
  <c r="AD251" i="93"/>
  <c r="AE94" i="93"/>
  <c r="AE95" i="93" s="1"/>
  <c r="AE219" i="93"/>
  <c r="X80" i="93"/>
  <c r="X81" i="93" s="1"/>
  <c r="X82" i="93" s="1"/>
  <c r="X154" i="93" s="1"/>
  <c r="AE251" i="93"/>
  <c r="W94" i="93"/>
  <c r="W95" i="93" s="1"/>
  <c r="W96" i="93" s="1"/>
  <c r="W250" i="93" s="1"/>
  <c r="AE80" i="93"/>
  <c r="AE81" i="93" s="1"/>
  <c r="AE82" i="93" s="1"/>
  <c r="AE154" i="93" s="1"/>
  <c r="AI94" i="93"/>
  <c r="AI95" i="93" s="1"/>
  <c r="AI96" i="93" s="1"/>
  <c r="AI250" i="93" s="1"/>
  <c r="AC94" i="93"/>
  <c r="AC95" i="93" s="1"/>
  <c r="Y94" i="93"/>
  <c r="Y95" i="93" s="1"/>
  <c r="Y96" i="93" s="1"/>
  <c r="Y250" i="93" s="1"/>
  <c r="AK87" i="93"/>
  <c r="AK88" i="93" s="1"/>
  <c r="AK89" i="93" s="1"/>
  <c r="AK218" i="93" s="1"/>
  <c r="AB153" i="93"/>
  <c r="AF94" i="93"/>
  <c r="AF95" i="93" s="1"/>
  <c r="AF96" i="93" s="1"/>
  <c r="AF250" i="93" s="1"/>
  <c r="AJ80" i="93"/>
  <c r="AJ81" i="93" s="1"/>
  <c r="Z155" i="93"/>
  <c r="AI219" i="93"/>
  <c r="AA87" i="93"/>
  <c r="AA88" i="93" s="1"/>
  <c r="AI251" i="93"/>
  <c r="Z251" i="93"/>
  <c r="F63" i="46"/>
  <c r="J71" i="93"/>
  <c r="J72" i="93" s="1"/>
  <c r="X87" i="93"/>
  <c r="X88" i="93" s="1"/>
  <c r="X89" i="93" s="1"/>
  <c r="X218" i="93" s="1"/>
  <c r="F50" i="46"/>
  <c r="J65" i="93"/>
  <c r="J66" i="93" s="1"/>
  <c r="J67" i="93" s="1"/>
  <c r="W87" i="93"/>
  <c r="W88" i="93" s="1"/>
  <c r="W89" i="93" s="1"/>
  <c r="W218" i="93" s="1"/>
  <c r="AK94" i="93"/>
  <c r="AK95" i="93" s="1"/>
  <c r="AK96" i="93" s="1"/>
  <c r="AK250" i="93" s="1"/>
  <c r="AC251" i="93"/>
  <c r="AA94" i="93"/>
  <c r="AA95" i="93" s="1"/>
  <c r="AA96" i="93" s="1"/>
  <c r="AA250" i="93" s="1"/>
  <c r="AJ94" i="93"/>
  <c r="AJ95" i="93" s="1"/>
  <c r="AJ96" i="93" s="1"/>
  <c r="AJ250" i="93" s="1"/>
  <c r="Z94" i="93"/>
  <c r="Z95" i="93" s="1"/>
  <c r="Z96" i="93" s="1"/>
  <c r="Z250" i="93" s="1"/>
  <c r="AB94" i="93"/>
  <c r="AB95" i="93" s="1"/>
  <c r="AB96" i="93" s="1"/>
  <c r="AB250" i="93" s="1"/>
  <c r="AC87" i="93"/>
  <c r="AC88" i="93" s="1"/>
  <c r="AC89" i="93" s="1"/>
  <c r="AC218" i="93" s="1"/>
  <c r="AB80" i="93"/>
  <c r="AB81" i="93" s="1"/>
  <c r="AB82" i="93" s="1"/>
  <c r="AB154" i="93" s="1"/>
  <c r="W80" i="93"/>
  <c r="W81" i="93" s="1"/>
  <c r="W82" i="93" s="1"/>
  <c r="W154" i="93" s="1"/>
  <c r="AH87" i="93"/>
  <c r="AH88" i="93" s="1"/>
  <c r="AH89" i="93" s="1"/>
  <c r="AH218" i="93" s="1"/>
  <c r="AI87" i="93"/>
  <c r="AI88" i="93" s="1"/>
  <c r="AI89" i="93" s="1"/>
  <c r="AI218" i="93" s="1"/>
  <c r="AF153" i="93"/>
  <c r="Y80" i="93"/>
  <c r="Y81" i="93" s="1"/>
  <c r="AH94" i="93"/>
  <c r="AH95" i="93" s="1"/>
  <c r="AH96" i="93" s="1"/>
  <c r="AH250" i="93" s="1"/>
  <c r="AE87" i="93"/>
  <c r="AE88" i="93" s="1"/>
  <c r="AE89" i="93" s="1"/>
  <c r="AE218" i="93" s="1"/>
  <c r="AH80" i="93"/>
  <c r="AH81" i="93" s="1"/>
  <c r="AH82" i="93" s="1"/>
  <c r="AH154" i="93" s="1"/>
  <c r="AI153" i="93"/>
  <c r="AF80" i="93"/>
  <c r="AF81" i="93" s="1"/>
  <c r="AF82" i="93" s="1"/>
  <c r="AF154" i="93" s="1"/>
  <c r="X249" i="93"/>
  <c r="AC219" i="93"/>
  <c r="AJ249" i="93"/>
  <c r="AD249" i="93"/>
  <c r="AG249" i="93"/>
  <c r="Y87" i="93"/>
  <c r="Y88" i="93" s="1"/>
  <c r="Y89" i="93" s="1"/>
  <c r="Y218" i="93" s="1"/>
  <c r="AK219" i="93"/>
  <c r="AC249" i="93"/>
  <c r="AK249" i="93"/>
  <c r="AH153" i="93"/>
  <c r="AA153" i="93"/>
  <c r="AJ87" i="93"/>
  <c r="AJ88" i="93" s="1"/>
  <c r="AJ89" i="93" s="1"/>
  <c r="AJ218" i="93" s="1"/>
  <c r="AJ153" i="93"/>
  <c r="AE153" i="93"/>
  <c r="AG87" i="93"/>
  <c r="AG88" i="93" s="1"/>
  <c r="AG89" i="93" s="1"/>
  <c r="AG218" i="93" s="1"/>
  <c r="Y249" i="93"/>
  <c r="AB249" i="93"/>
  <c r="W153" i="93"/>
  <c r="AF87" i="93"/>
  <c r="AF88" i="93" s="1"/>
  <c r="AF89" i="93" s="1"/>
  <c r="AF218" i="93" s="1"/>
  <c r="AG153" i="93"/>
  <c r="AD153" i="93"/>
  <c r="AJ28" i="93"/>
  <c r="Z249" i="93"/>
  <c r="AH249" i="93"/>
  <c r="AE249" i="93"/>
  <c r="AD89" i="93"/>
  <c r="AD218" i="93" s="1"/>
  <c r="AD217" i="93"/>
  <c r="AD82" i="93"/>
  <c r="AD154" i="93" s="1"/>
  <c r="W217" i="93"/>
  <c r="AD94" i="93"/>
  <c r="AD95" i="93" s="1"/>
  <c r="AD96" i="93" s="1"/>
  <c r="AD250" i="93" s="1"/>
  <c r="Z80" i="93"/>
  <c r="Z81" i="93" s="1"/>
  <c r="AB28" i="93"/>
  <c r="Z153" i="93"/>
  <c r="AI82" i="93"/>
  <c r="AI154" i="93" s="1"/>
  <c r="AI217" i="93"/>
  <c r="AD28" i="93"/>
  <c r="AA249" i="93"/>
  <c r="AI249" i="93"/>
  <c r="X153" i="93"/>
  <c r="AE217" i="93"/>
  <c r="AE96" i="93"/>
  <c r="AE250" i="93" s="1"/>
  <c r="Y28" i="93"/>
  <c r="Y153" i="93"/>
  <c r="AF217" i="93"/>
  <c r="AA217" i="93"/>
  <c r="AA89" i="93"/>
  <c r="AA218" i="93" s="1"/>
  <c r="X217" i="93"/>
  <c r="Z87" i="93"/>
  <c r="Z88" i="93" s="1"/>
  <c r="Z89" i="93" s="1"/>
  <c r="Z218" i="93" s="1"/>
  <c r="AK153" i="93"/>
  <c r="W249" i="93"/>
  <c r="AJ217" i="93"/>
  <c r="AJ82" i="93"/>
  <c r="AJ154" i="93" s="1"/>
  <c r="X94" i="93"/>
  <c r="X95" i="93" s="1"/>
  <c r="X96" i="93" s="1"/>
  <c r="X250" i="93" s="1"/>
  <c r="AC153" i="93"/>
  <c r="Z82" i="93"/>
  <c r="Z154" i="93" s="1"/>
  <c r="Z217" i="93"/>
  <c r="AG96" i="93"/>
  <c r="AG250" i="93" s="1"/>
  <c r="AG82" i="93"/>
  <c r="AG154" i="93" s="1"/>
  <c r="AG217" i="93"/>
  <c r="AA80" i="93"/>
  <c r="AA81" i="93" s="1"/>
  <c r="AA82" i="93" s="1"/>
  <c r="AA154" i="93" s="1"/>
  <c r="AF249" i="93"/>
  <c r="AC96" i="93"/>
  <c r="AC250" i="93" s="1"/>
  <c r="AC217" i="93"/>
  <c r="AC82" i="93"/>
  <c r="AC154" i="93" s="1"/>
  <c r="Y217" i="93"/>
  <c r="Y82" i="93"/>
  <c r="Y154" i="93" s="1"/>
  <c r="AB217" i="93"/>
  <c r="AB89" i="93"/>
  <c r="AB218" i="93" s="1"/>
  <c r="AH217" i="93"/>
  <c r="AK217" i="93"/>
  <c r="AK82" i="93"/>
  <c r="AK154" i="93" s="1"/>
  <c r="H251" i="93"/>
  <c r="H219" i="93"/>
  <c r="R217" i="93"/>
  <c r="K217" i="93"/>
  <c r="S217" i="93"/>
  <c r="N217" i="93"/>
  <c r="L217" i="93"/>
  <c r="I217" i="93"/>
  <c r="U217" i="93"/>
  <c r="O217" i="93"/>
  <c r="Q217" i="93"/>
  <c r="T217" i="93"/>
  <c r="J217" i="93"/>
  <c r="M217" i="93"/>
  <c r="P217" i="93"/>
  <c r="V217" i="93"/>
  <c r="H29" i="93"/>
  <c r="H30" i="93"/>
  <c r="T153" i="93"/>
  <c r="L249" i="93"/>
  <c r="N249" i="93"/>
  <c r="U249" i="93"/>
  <c r="H72" i="93"/>
  <c r="Q153" i="93"/>
  <c r="U153" i="93"/>
  <c r="V249" i="93"/>
  <c r="Q249" i="93"/>
  <c r="N153" i="93"/>
  <c r="M249" i="93"/>
  <c r="M153" i="93"/>
  <c r="L153" i="93"/>
  <c r="O153" i="93"/>
  <c r="I153" i="93"/>
  <c r="O249" i="93"/>
  <c r="R153" i="93"/>
  <c r="J249" i="93"/>
  <c r="J153" i="93"/>
  <c r="P153" i="93"/>
  <c r="V153" i="93"/>
  <c r="S249" i="93"/>
  <c r="K153" i="93"/>
  <c r="P249" i="93"/>
  <c r="H153" i="93"/>
  <c r="R249" i="93"/>
  <c r="K249" i="93"/>
  <c r="T249" i="93"/>
  <c r="I249" i="93"/>
  <c r="S153" i="93"/>
  <c r="V155" i="93"/>
  <c r="H155" i="93"/>
  <c r="I155" i="93"/>
  <c r="P87" i="93"/>
  <c r="P88" i="93" s="1"/>
  <c r="P89" i="93" s="1"/>
  <c r="P218" i="93" s="1"/>
  <c r="Q155" i="93"/>
  <c r="O155" i="93"/>
  <c r="U155" i="93"/>
  <c r="S155" i="93"/>
  <c r="I80" i="93"/>
  <c r="I81" i="93" s="1"/>
  <c r="I82" i="93" s="1"/>
  <c r="N155" i="93"/>
  <c r="M94" i="93"/>
  <c r="M95" i="93" s="1"/>
  <c r="M96" i="93" s="1"/>
  <c r="M250" i="93" s="1"/>
  <c r="AK44" i="93"/>
  <c r="AK46" i="93" s="1"/>
  <c r="AK48" i="93" s="1"/>
  <c r="W37" i="93"/>
  <c r="W39" i="93" s="1"/>
  <c r="W41" i="93" s="1"/>
  <c r="X44" i="93"/>
  <c r="X46" i="93" s="1"/>
  <c r="X48" i="93" s="1"/>
  <c r="AE44" i="93"/>
  <c r="AE46" i="93" s="1"/>
  <c r="AE48" i="93" s="1"/>
  <c r="X51" i="93"/>
  <c r="X53" i="93" s="1"/>
  <c r="X55" i="93" s="1"/>
  <c r="X244" i="93" s="1"/>
  <c r="AA37" i="93"/>
  <c r="AA39" i="93" s="1"/>
  <c r="AA41" i="93" s="1"/>
  <c r="AE37" i="93"/>
  <c r="AE39" i="93" s="1"/>
  <c r="AE41" i="93" s="1"/>
  <c r="AH51" i="93"/>
  <c r="AH53" i="93" s="1"/>
  <c r="AH55" i="93" s="1"/>
  <c r="Y44" i="93"/>
  <c r="Y46" i="93" s="1"/>
  <c r="Y48" i="93" s="1"/>
  <c r="AJ37" i="93"/>
  <c r="AJ39" i="93" s="1"/>
  <c r="AJ41" i="93" s="1"/>
  <c r="Y51" i="93"/>
  <c r="Y53" i="93" s="1"/>
  <c r="Y55" i="93" s="1"/>
  <c r="Y244" i="93" s="1"/>
  <c r="AH37" i="93"/>
  <c r="AH39" i="93" s="1"/>
  <c r="AH41" i="93" s="1"/>
  <c r="W44" i="93"/>
  <c r="W46" i="93" s="1"/>
  <c r="W48" i="93" s="1"/>
  <c r="AF51" i="93"/>
  <c r="AF53" i="93" s="1"/>
  <c r="AF55" i="93" s="1"/>
  <c r="Y37" i="93"/>
  <c r="Y39" i="93" s="1"/>
  <c r="Y41" i="93" s="1"/>
  <c r="AJ51" i="93"/>
  <c r="AJ53" i="93" s="1"/>
  <c r="AJ55" i="93" s="1"/>
  <c r="Z37" i="93"/>
  <c r="Z39" i="93" s="1"/>
  <c r="Z41" i="93" s="1"/>
  <c r="AJ44" i="93"/>
  <c r="AJ46" i="93" s="1"/>
  <c r="AJ48" i="93" s="1"/>
  <c r="AF44" i="93"/>
  <c r="AF46" i="93" s="1"/>
  <c r="AF48" i="93" s="1"/>
  <c r="AD44" i="93"/>
  <c r="AD46" i="93" s="1"/>
  <c r="AD48" i="93" s="1"/>
  <c r="AG51" i="93"/>
  <c r="AG53" i="93" s="1"/>
  <c r="AG55" i="93" s="1"/>
  <c r="Z51" i="93"/>
  <c r="Z53" i="93" s="1"/>
  <c r="Z55" i="93" s="1"/>
  <c r="Z244" i="93" s="1"/>
  <c r="X37" i="93"/>
  <c r="X39" i="93" s="1"/>
  <c r="X41" i="93" s="1"/>
  <c r="AA51" i="93"/>
  <c r="AA53" i="93" s="1"/>
  <c r="AA55" i="93" s="1"/>
  <c r="AA244" i="93" s="1"/>
  <c r="AI37" i="93"/>
  <c r="AI39" i="93" s="1"/>
  <c r="AI41" i="93" s="1"/>
  <c r="AB37" i="93"/>
  <c r="AB39" i="93" s="1"/>
  <c r="AB41" i="93" s="1"/>
  <c r="AI51" i="93"/>
  <c r="AI53" i="93" s="1"/>
  <c r="AI55" i="93" s="1"/>
  <c r="AG37" i="93"/>
  <c r="AG39" i="93" s="1"/>
  <c r="AG41" i="93" s="1"/>
  <c r="Z44" i="93"/>
  <c r="Z46" i="93" s="1"/>
  <c r="Z48" i="93" s="1"/>
  <c r="AG44" i="93"/>
  <c r="AG46" i="93" s="1"/>
  <c r="AG48" i="93" s="1"/>
  <c r="AK51" i="93"/>
  <c r="AK53" i="93" s="1"/>
  <c r="AK55" i="93" s="1"/>
  <c r="AK37" i="93"/>
  <c r="AK39" i="93" s="1"/>
  <c r="AK41" i="93" s="1"/>
  <c r="AF37" i="93"/>
  <c r="AF39" i="93" s="1"/>
  <c r="AF41" i="93" s="1"/>
  <c r="AI44" i="93"/>
  <c r="AI46" i="93" s="1"/>
  <c r="AI48" i="93" s="1"/>
  <c r="AB44" i="93"/>
  <c r="AB46" i="93" s="1"/>
  <c r="AB48" i="93" s="1"/>
  <c r="AC37" i="93"/>
  <c r="AC39" i="93" s="1"/>
  <c r="AC41" i="93" s="1"/>
  <c r="AB51" i="93"/>
  <c r="AB53" i="93" s="1"/>
  <c r="AB55" i="93" s="1"/>
  <c r="AD37" i="93"/>
  <c r="AD39" i="93" s="1"/>
  <c r="AD41" i="93" s="1"/>
  <c r="AA44" i="93"/>
  <c r="AA46" i="93" s="1"/>
  <c r="AA48" i="93" s="1"/>
  <c r="W51" i="93"/>
  <c r="W53" i="93" s="1"/>
  <c r="W55" i="93" s="1"/>
  <c r="W244" i="93" s="1"/>
  <c r="AC44" i="93"/>
  <c r="AC46" i="93" s="1"/>
  <c r="AC48" i="93" s="1"/>
  <c r="AH44" i="93"/>
  <c r="AH46" i="93" s="1"/>
  <c r="AH48" i="93" s="1"/>
  <c r="AE51" i="93"/>
  <c r="AE53" i="93" s="1"/>
  <c r="AE55" i="93" s="1"/>
  <c r="AC51" i="93"/>
  <c r="AC53" i="93" s="1"/>
  <c r="AC55" i="93" s="1"/>
  <c r="AD51" i="93"/>
  <c r="AD53" i="93" s="1"/>
  <c r="AD55" i="93" s="1"/>
  <c r="O87" i="93"/>
  <c r="O88" i="93" s="1"/>
  <c r="O89" i="93" s="1"/>
  <c r="O218" i="93" s="1"/>
  <c r="H87" i="93"/>
  <c r="H88" i="93" s="1"/>
  <c r="H89" i="93" s="1"/>
  <c r="H218" i="93" s="1"/>
  <c r="I72" i="93"/>
  <c r="H80" i="93"/>
  <c r="H81" i="93" s="1"/>
  <c r="H82" i="93" s="1"/>
  <c r="J53" i="93"/>
  <c r="P53" i="93"/>
  <c r="H149" i="93"/>
  <c r="K87" i="93"/>
  <c r="K88" i="93" s="1"/>
  <c r="K89" i="93" s="1"/>
  <c r="K218" i="93" s="1"/>
  <c r="J94" i="93"/>
  <c r="J95" i="93" s="1"/>
  <c r="J96" i="93" s="1"/>
  <c r="J250" i="93" s="1"/>
  <c r="N87" i="93"/>
  <c r="N88" i="93" s="1"/>
  <c r="N89" i="93" s="1"/>
  <c r="N218" i="93" s="1"/>
  <c r="K53" i="93"/>
  <c r="M87" i="93"/>
  <c r="M88" i="93" s="1"/>
  <c r="M89" i="93" s="1"/>
  <c r="M218" i="93" s="1"/>
  <c r="I94" i="93"/>
  <c r="I95" i="93" s="1"/>
  <c r="I96" i="93" s="1"/>
  <c r="I250" i="93" s="1"/>
  <c r="M53" i="93"/>
  <c r="L53" i="93"/>
  <c r="Q94" i="93"/>
  <c r="Q95" i="93" s="1"/>
  <c r="Q96" i="93" s="1"/>
  <c r="Q250" i="93" s="1"/>
  <c r="K94" i="93"/>
  <c r="K95" i="93" s="1"/>
  <c r="K96" i="93" s="1"/>
  <c r="K250" i="93" s="1"/>
  <c r="J80" i="93"/>
  <c r="J81" i="93" s="1"/>
  <c r="J82" i="93" s="1"/>
  <c r="L94" i="93"/>
  <c r="L95" i="93" s="1"/>
  <c r="L96" i="93" s="1"/>
  <c r="L250" i="93" s="1"/>
  <c r="H66" i="93"/>
  <c r="H94" i="93"/>
  <c r="H95" i="93" s="1"/>
  <c r="H96" i="93" s="1"/>
  <c r="L87" i="93"/>
  <c r="L88" i="93" s="1"/>
  <c r="L89" i="93" s="1"/>
  <c r="L218" i="93" s="1"/>
  <c r="Q87" i="93"/>
  <c r="Q88" i="93" s="1"/>
  <c r="Q89" i="93" s="1"/>
  <c r="Q218" i="93" s="1"/>
  <c r="O94" i="93"/>
  <c r="O95" i="93" s="1"/>
  <c r="O96" i="93" s="1"/>
  <c r="O250" i="93" s="1"/>
  <c r="N94" i="93"/>
  <c r="N95" i="93" s="1"/>
  <c r="N96" i="93" s="1"/>
  <c r="N250" i="93" s="1"/>
  <c r="J87" i="93"/>
  <c r="J88" i="93" s="1"/>
  <c r="J89" i="93" s="1"/>
  <c r="J218" i="93" s="1"/>
  <c r="I87" i="93"/>
  <c r="I88" i="93" s="1"/>
  <c r="I89" i="93" s="1"/>
  <c r="I218" i="93" s="1"/>
  <c r="O53" i="93"/>
  <c r="I53" i="93"/>
  <c r="P94" i="93"/>
  <c r="P95" i="93" s="1"/>
  <c r="P96" i="93" s="1"/>
  <c r="P250" i="93" s="1"/>
  <c r="N53" i="93"/>
  <c r="H46" i="93"/>
  <c r="H53" i="93"/>
  <c r="K37" i="93"/>
  <c r="K39" i="93" s="1"/>
  <c r="Q44" i="93"/>
  <c r="Q46" i="93" s="1"/>
  <c r="Q51" i="93"/>
  <c r="Q53" i="93" s="1"/>
  <c r="R86" i="93"/>
  <c r="R87" i="93" s="1"/>
  <c r="R88" i="93" s="1"/>
  <c r="R89" i="93" s="1"/>
  <c r="R218" i="93" s="1"/>
  <c r="R93" i="93"/>
  <c r="R94" i="93" s="1"/>
  <c r="R95" i="93" s="1"/>
  <c r="R96" i="93" s="1"/>
  <c r="R250" i="93" s="1"/>
  <c r="K79" i="93"/>
  <c r="K80" i="93" s="1"/>
  <c r="K81" i="93" s="1"/>
  <c r="K82" i="93" s="1"/>
  <c r="L59" i="93"/>
  <c r="L37" i="93" a="1"/>
  <c r="R51" i="93" a="1"/>
  <c r="R44" i="93" a="1"/>
  <c r="AE252" i="93" l="1"/>
  <c r="W252" i="93"/>
  <c r="AF252" i="93"/>
  <c r="AB156" i="93"/>
  <c r="AI156" i="93"/>
  <c r="AJ252" i="93"/>
  <c r="Z252" i="93"/>
  <c r="AH156" i="93"/>
  <c r="AA156" i="93"/>
  <c r="AK252" i="93"/>
  <c r="G50" i="46"/>
  <c r="K65" i="93"/>
  <c r="K66" i="93" s="1"/>
  <c r="K67" i="93" s="1"/>
  <c r="AI252" i="93"/>
  <c r="G63" i="46"/>
  <c r="K71" i="93"/>
  <c r="K72" i="93" s="1"/>
  <c r="K73" i="93" s="1"/>
  <c r="K245" i="93" s="1"/>
  <c r="AC252" i="93"/>
  <c r="AA252" i="93"/>
  <c r="AB252" i="93"/>
  <c r="AG252" i="93"/>
  <c r="Y252" i="93"/>
  <c r="X252" i="93"/>
  <c r="AH252" i="93"/>
  <c r="AE156" i="93"/>
  <c r="AF156" i="93"/>
  <c r="AD252" i="93"/>
  <c r="AK156" i="93"/>
  <c r="AE220" i="93"/>
  <c r="Z220" i="93"/>
  <c r="W156" i="93"/>
  <c r="AJ156" i="93"/>
  <c r="AI220" i="93"/>
  <c r="AH220" i="93"/>
  <c r="X220" i="93"/>
  <c r="AJ220" i="93"/>
  <c r="AD220" i="93"/>
  <c r="AK220" i="93"/>
  <c r="Y148" i="93"/>
  <c r="Y212" i="93"/>
  <c r="AD148" i="93"/>
  <c r="AD212" i="93"/>
  <c r="AB148" i="93"/>
  <c r="AB212" i="93"/>
  <c r="W148" i="93"/>
  <c r="W212" i="93"/>
  <c r="AF220" i="93"/>
  <c r="AI148" i="93"/>
  <c r="AI212" i="93"/>
  <c r="AC148" i="93"/>
  <c r="AC212" i="93"/>
  <c r="AH148" i="93"/>
  <c r="AH212" i="93"/>
  <c r="X148" i="93"/>
  <c r="X212" i="93"/>
  <c r="AG220" i="93"/>
  <c r="Y156" i="93"/>
  <c r="AJ148" i="93"/>
  <c r="AJ212" i="93"/>
  <c r="Y220" i="93"/>
  <c r="AF148" i="93"/>
  <c r="AF212" i="93"/>
  <c r="W220" i="93"/>
  <c r="AD156" i="93"/>
  <c r="AK148" i="93"/>
  <c r="AK212" i="93"/>
  <c r="AG156" i="93"/>
  <c r="AE148" i="93"/>
  <c r="AE212" i="93"/>
  <c r="AA148" i="93"/>
  <c r="AA212" i="93"/>
  <c r="AC156" i="93"/>
  <c r="Z148" i="93"/>
  <c r="Z212" i="93"/>
  <c r="AB220" i="93"/>
  <c r="AC220" i="93"/>
  <c r="AA220" i="93"/>
  <c r="AG148" i="93"/>
  <c r="AG212" i="93"/>
  <c r="Z156" i="93"/>
  <c r="X156" i="93"/>
  <c r="H73" i="93"/>
  <c r="H245" i="93" s="1"/>
  <c r="O159" i="93"/>
  <c r="K159" i="93"/>
  <c r="P159" i="93"/>
  <c r="K55" i="93"/>
  <c r="K244" i="93" s="1"/>
  <c r="K223" i="93"/>
  <c r="H255" i="93"/>
  <c r="Q159" i="93"/>
  <c r="L55" i="93"/>
  <c r="L244" i="93" s="1"/>
  <c r="J159" i="93"/>
  <c r="P255" i="93"/>
  <c r="F243" i="93"/>
  <c r="F246" i="93" s="1"/>
  <c r="F261" i="93" s="1"/>
  <c r="L223" i="93"/>
  <c r="P223" i="93"/>
  <c r="M223" i="93"/>
  <c r="H55" i="93"/>
  <c r="H244" i="93" s="1"/>
  <c r="M48" i="93"/>
  <c r="M255" i="93"/>
  <c r="M159" i="93"/>
  <c r="Q223" i="93"/>
  <c r="K48" i="93"/>
  <c r="O55" i="93"/>
  <c r="O244" i="93" s="1"/>
  <c r="L48" i="93"/>
  <c r="J223" i="93"/>
  <c r="I223" i="93"/>
  <c r="L159" i="93"/>
  <c r="I255" i="93"/>
  <c r="I159" i="93"/>
  <c r="I48" i="93"/>
  <c r="N159" i="93"/>
  <c r="N255" i="93"/>
  <c r="N48" i="93"/>
  <c r="J48" i="93"/>
  <c r="M55" i="93"/>
  <c r="M244" i="93" s="1"/>
  <c r="K255" i="93"/>
  <c r="Q255" i="93"/>
  <c r="K41" i="93"/>
  <c r="P48" i="93"/>
  <c r="J255" i="93"/>
  <c r="F214" i="93"/>
  <c r="F229" i="93" s="1"/>
  <c r="F262" i="93" s="1"/>
  <c r="L255" i="93"/>
  <c r="N223" i="93"/>
  <c r="O255" i="93"/>
  <c r="O48" i="93"/>
  <c r="J41" i="93"/>
  <c r="Q55" i="93"/>
  <c r="Q244" i="93" s="1"/>
  <c r="P55" i="93"/>
  <c r="P244" i="93" s="1"/>
  <c r="H48" i="93"/>
  <c r="N55" i="93"/>
  <c r="N244" i="93" s="1"/>
  <c r="I41" i="93"/>
  <c r="O223" i="93"/>
  <c r="J55" i="93"/>
  <c r="J244" i="93" s="1"/>
  <c r="Q48" i="93"/>
  <c r="I55" i="93"/>
  <c r="I244" i="93" s="1"/>
  <c r="F147" i="93"/>
  <c r="F150" i="93" s="1"/>
  <c r="F165" i="93" s="1"/>
  <c r="F166" i="93" s="1"/>
  <c r="I220" i="93"/>
  <c r="J154" i="93"/>
  <c r="J156" i="93" s="1"/>
  <c r="K154" i="93"/>
  <c r="J220" i="93"/>
  <c r="H154" i="93"/>
  <c r="H156" i="93" s="1"/>
  <c r="H220" i="93"/>
  <c r="H250" i="93"/>
  <c r="H252" i="93" s="1"/>
  <c r="J252" i="93"/>
  <c r="I252" i="93"/>
  <c r="I154" i="93"/>
  <c r="I156" i="93" s="1"/>
  <c r="H67" i="93"/>
  <c r="I67" i="93"/>
  <c r="J73" i="93"/>
  <c r="J245" i="93" s="1"/>
  <c r="I73" i="93"/>
  <c r="I245" i="93" s="1"/>
  <c r="L37" i="93"/>
  <c r="L39" i="93" s="1"/>
  <c r="R51" i="93"/>
  <c r="R53" i="93" s="1"/>
  <c r="R44" i="93"/>
  <c r="R46" i="93" s="1"/>
  <c r="S86" i="93"/>
  <c r="S87" i="93" s="1"/>
  <c r="S88" i="93" s="1"/>
  <c r="S89" i="93" s="1"/>
  <c r="S218" i="93" s="1"/>
  <c r="S93" i="93"/>
  <c r="S94" i="93" s="1"/>
  <c r="S95" i="93" s="1"/>
  <c r="S96" i="93" s="1"/>
  <c r="S250" i="93" s="1"/>
  <c r="L79" i="93"/>
  <c r="L80" i="93" s="1"/>
  <c r="L81" i="93" s="1"/>
  <c r="L82" i="93" s="1"/>
  <c r="M59" i="93"/>
  <c r="M37" i="93" a="1"/>
  <c r="S44" i="93" a="1"/>
  <c r="S51" i="93" a="1"/>
  <c r="K246" i="93" l="1"/>
  <c r="H50" i="46"/>
  <c r="L65" i="93"/>
  <c r="L66" i="93" s="1"/>
  <c r="L67" i="93" s="1"/>
  <c r="H63" i="46"/>
  <c r="L71" i="93"/>
  <c r="L72" i="93" s="1"/>
  <c r="L73" i="93" s="1"/>
  <c r="L245" i="93" s="1"/>
  <c r="L246" i="93" s="1"/>
  <c r="H212" i="93"/>
  <c r="H214" i="93" s="1"/>
  <c r="H224" i="93" s="1"/>
  <c r="H225" i="93" s="1"/>
  <c r="H229" i="93" s="1"/>
  <c r="H230" i="93" s="1"/>
  <c r="K148" i="93"/>
  <c r="K212" i="93"/>
  <c r="J148" i="93"/>
  <c r="J212" i="93"/>
  <c r="I148" i="93"/>
  <c r="I212" i="93"/>
  <c r="R55" i="93"/>
  <c r="R244" i="93" s="1"/>
  <c r="L41" i="93"/>
  <c r="R48" i="93"/>
  <c r="H246" i="93"/>
  <c r="H256" i="93" s="1"/>
  <c r="H257" i="93" s="1"/>
  <c r="H261" i="93" s="1"/>
  <c r="H262" i="93" s="1"/>
  <c r="F230" i="93"/>
  <c r="H150" i="93"/>
  <c r="H160" i="93" s="1"/>
  <c r="K252" i="93"/>
  <c r="I246" i="93"/>
  <c r="I256" i="93" s="1"/>
  <c r="I257" i="93" s="1"/>
  <c r="I261" i="93" s="1"/>
  <c r="I262" i="93" s="1"/>
  <c r="J246" i="93"/>
  <c r="J256" i="93" s="1"/>
  <c r="J257" i="93" s="1"/>
  <c r="J261" i="93" s="1"/>
  <c r="J262" i="93" s="1"/>
  <c r="K156" i="93"/>
  <c r="K220" i="93"/>
  <c r="L154" i="93"/>
  <c r="S51" i="93"/>
  <c r="S53" i="93" s="1"/>
  <c r="S55" i="93" s="1"/>
  <c r="S244" i="93" s="1"/>
  <c r="M37" i="93"/>
  <c r="M39" i="93" s="1"/>
  <c r="M41" i="93" s="1"/>
  <c r="S44" i="93"/>
  <c r="S46" i="93" s="1"/>
  <c r="S48" i="93" s="1"/>
  <c r="T93" i="93"/>
  <c r="T94" i="93" s="1"/>
  <c r="T95" i="93" s="1"/>
  <c r="T96" i="93" s="1"/>
  <c r="T250" i="93" s="1"/>
  <c r="L220" i="93"/>
  <c r="L252" i="93"/>
  <c r="M79" i="93"/>
  <c r="M80" i="93" s="1"/>
  <c r="M81" i="93" s="1"/>
  <c r="M82" i="93" s="1"/>
  <c r="T86" i="93"/>
  <c r="T87" i="93" s="1"/>
  <c r="T88" i="93" s="1"/>
  <c r="T89" i="93" s="1"/>
  <c r="T218" i="93" s="1"/>
  <c r="N59" i="93"/>
  <c r="N37" i="93" a="1"/>
  <c r="T44" i="93" a="1"/>
  <c r="T51" i="93" a="1"/>
  <c r="K256" i="93" l="1"/>
  <c r="K257" i="93" s="1"/>
  <c r="K261" i="93" s="1"/>
  <c r="K262" i="93" s="1"/>
  <c r="I63" i="46"/>
  <c r="M71" i="93"/>
  <c r="M72" i="93" s="1"/>
  <c r="M73" i="93" s="1"/>
  <c r="M245" i="93" s="1"/>
  <c r="M246" i="93" s="1"/>
  <c r="I50" i="46"/>
  <c r="M65" i="93"/>
  <c r="M66" i="93" s="1"/>
  <c r="M67" i="93" s="1"/>
  <c r="H161" i="93"/>
  <c r="H165" i="93" s="1"/>
  <c r="L148" i="93"/>
  <c r="L212" i="93"/>
  <c r="M148" i="93"/>
  <c r="M212" i="93"/>
  <c r="M154" i="93"/>
  <c r="L156" i="93"/>
  <c r="L256" i="93"/>
  <c r="L257" i="93" s="1"/>
  <c r="L261" i="93" s="1"/>
  <c r="L262" i="93" s="1"/>
  <c r="N37" i="93"/>
  <c r="N39" i="93" s="1"/>
  <c r="N41" i="93" s="1"/>
  <c r="T44" i="93"/>
  <c r="T46" i="93" s="1"/>
  <c r="T48" i="93" s="1"/>
  <c r="T51" i="93"/>
  <c r="T53" i="93" s="1"/>
  <c r="T55" i="93" s="1"/>
  <c r="T244" i="93" s="1"/>
  <c r="U86" i="93"/>
  <c r="U87" i="93" s="1"/>
  <c r="U88" i="93" s="1"/>
  <c r="U89" i="93" s="1"/>
  <c r="U218" i="93" s="1"/>
  <c r="N79" i="93"/>
  <c r="N80" i="93" s="1"/>
  <c r="N81" i="93" s="1"/>
  <c r="N82" i="93" s="1"/>
  <c r="M220" i="93"/>
  <c r="M252" i="93"/>
  <c r="U93" i="93"/>
  <c r="U94" i="93" s="1"/>
  <c r="U95" i="93" s="1"/>
  <c r="U96" i="93" s="1"/>
  <c r="U250" i="93" s="1"/>
  <c r="O59" i="93"/>
  <c r="U51" i="93" a="1"/>
  <c r="O37" i="93" a="1"/>
  <c r="U44" i="93" a="1"/>
  <c r="M256" i="93" l="1"/>
  <c r="M257" i="93" s="1"/>
  <c r="M261" i="93" s="1"/>
  <c r="M262" i="93" s="1"/>
  <c r="J50" i="46"/>
  <c r="N65" i="93"/>
  <c r="N66" i="93" s="1"/>
  <c r="N67" i="93" s="1"/>
  <c r="J63" i="46"/>
  <c r="N71" i="93"/>
  <c r="N72" i="93" s="1"/>
  <c r="N73" i="93" s="1"/>
  <c r="N245" i="93" s="1"/>
  <c r="N246" i="93" s="1"/>
  <c r="N148" i="93"/>
  <c r="N212" i="93"/>
  <c r="N154" i="93"/>
  <c r="M156" i="93"/>
  <c r="U51" i="93"/>
  <c r="U53" i="93" s="1"/>
  <c r="U55" i="93" s="1"/>
  <c r="U244" i="93" s="1"/>
  <c r="O37" i="93"/>
  <c r="O39" i="93" s="1"/>
  <c r="O41" i="93" s="1"/>
  <c r="U44" i="93"/>
  <c r="U46" i="93" s="1"/>
  <c r="U48" i="93" s="1"/>
  <c r="V93" i="93"/>
  <c r="V94" i="93" s="1"/>
  <c r="V95" i="93" s="1"/>
  <c r="V96" i="93" s="1"/>
  <c r="V250" i="93" s="1"/>
  <c r="N252" i="93"/>
  <c r="N220" i="93"/>
  <c r="O79" i="93"/>
  <c r="O80" i="93" s="1"/>
  <c r="O81" i="93" s="1"/>
  <c r="O82" i="93" s="1"/>
  <c r="V86" i="93"/>
  <c r="V87" i="93" s="1"/>
  <c r="V88" i="93" s="1"/>
  <c r="V89" i="93" s="1"/>
  <c r="V218" i="93" s="1"/>
  <c r="P59" i="93"/>
  <c r="V44" i="93" a="1"/>
  <c r="P37" i="93" a="1"/>
  <c r="V51" i="93" a="1"/>
  <c r="N256" i="93" l="1"/>
  <c r="N257" i="93" s="1"/>
  <c r="N261" i="93" s="1"/>
  <c r="N262" i="93" s="1"/>
  <c r="K63" i="46"/>
  <c r="O71" i="93"/>
  <c r="O72" i="93" s="1"/>
  <c r="O73" i="93" s="1"/>
  <c r="O245" i="93" s="1"/>
  <c r="O246" i="93" s="1"/>
  <c r="K50" i="46"/>
  <c r="O65" i="93"/>
  <c r="O66" i="93" s="1"/>
  <c r="O67" i="93" s="1"/>
  <c r="H166" i="93"/>
  <c r="O148" i="93"/>
  <c r="O212" i="93"/>
  <c r="O154" i="93"/>
  <c r="N156" i="93"/>
  <c r="V51" i="93"/>
  <c r="V53" i="93" s="1"/>
  <c r="V55" i="93" s="1"/>
  <c r="V244" i="93" s="1"/>
  <c r="V44" i="93"/>
  <c r="V46" i="93" s="1"/>
  <c r="V48" i="93" s="1"/>
  <c r="P37" i="93"/>
  <c r="P39" i="93" s="1"/>
  <c r="P41" i="93" s="1"/>
  <c r="O220" i="93"/>
  <c r="O252" i="93"/>
  <c r="P79" i="93"/>
  <c r="P80" i="93" s="1"/>
  <c r="P81" i="93" s="1"/>
  <c r="P82" i="93" s="1"/>
  <c r="Q59" i="93"/>
  <c r="Q37" i="93" a="1"/>
  <c r="O256" i="93" l="1"/>
  <c r="O257" i="93" s="1"/>
  <c r="O261" i="93" s="1"/>
  <c r="O262" i="93" s="1"/>
  <c r="L50" i="46"/>
  <c r="P65" i="93"/>
  <c r="P66" i="93" s="1"/>
  <c r="P67" i="93" s="1"/>
  <c r="L63" i="46"/>
  <c r="P71" i="93"/>
  <c r="P72" i="93" s="1"/>
  <c r="P73" i="93" s="1"/>
  <c r="P245" i="93" s="1"/>
  <c r="P246" i="93" s="1"/>
  <c r="P148" i="93"/>
  <c r="P212" i="93"/>
  <c r="O156" i="93"/>
  <c r="P154" i="93"/>
  <c r="Q37" i="93"/>
  <c r="Q39" i="93" s="1"/>
  <c r="Q41" i="93" s="1"/>
  <c r="P220" i="93"/>
  <c r="P252" i="93"/>
  <c r="Q79" i="93"/>
  <c r="Q80" i="93" s="1"/>
  <c r="Q81" i="93" s="1"/>
  <c r="Q82" i="93" s="1"/>
  <c r="R59" i="93"/>
  <c r="R37" i="93" a="1"/>
  <c r="M63" i="46" l="1"/>
  <c r="Q71" i="93"/>
  <c r="Q72" i="93" s="1"/>
  <c r="Q73" i="93" s="1"/>
  <c r="Q245" i="93" s="1"/>
  <c r="Q246" i="93" s="1"/>
  <c r="P256" i="93"/>
  <c r="P257" i="93" s="1"/>
  <c r="P261" i="93" s="1"/>
  <c r="P262" i="93" s="1"/>
  <c r="M50" i="46"/>
  <c r="Q65" i="93"/>
  <c r="Q66" i="93" s="1"/>
  <c r="Q67" i="93" s="1"/>
  <c r="Q148" i="93"/>
  <c r="Q212" i="93"/>
  <c r="Q154" i="93"/>
  <c r="P156" i="93"/>
  <c r="R37" i="93"/>
  <c r="R39" i="93" s="1"/>
  <c r="R41" i="93" s="1"/>
  <c r="R79" i="93"/>
  <c r="R80" i="93" s="1"/>
  <c r="R81" i="93" s="1"/>
  <c r="R82" i="93" s="1"/>
  <c r="Q252" i="93"/>
  <c r="Q220" i="93"/>
  <c r="S59" i="93"/>
  <c r="S37" i="93" a="1"/>
  <c r="Q256" i="93" l="1"/>
  <c r="Q257" i="93" s="1"/>
  <c r="Q261" i="93" s="1"/>
  <c r="Q262" i="93" s="1"/>
  <c r="N50" i="46"/>
  <c r="R65" i="93"/>
  <c r="R66" i="93" s="1"/>
  <c r="R67" i="93" s="1"/>
  <c r="N63" i="46"/>
  <c r="R71" i="93"/>
  <c r="R72" i="93" s="1"/>
  <c r="R73" i="93" s="1"/>
  <c r="R245" i="93" s="1"/>
  <c r="R246" i="93" s="1"/>
  <c r="R148" i="93"/>
  <c r="R212" i="93"/>
  <c r="Q156" i="93"/>
  <c r="R154" i="93"/>
  <c r="S37" i="93"/>
  <c r="S39" i="93" s="1"/>
  <c r="S41" i="93" s="1"/>
  <c r="R252" i="93"/>
  <c r="R220" i="93"/>
  <c r="S79" i="93"/>
  <c r="S80" i="93" s="1"/>
  <c r="S81" i="93" s="1"/>
  <c r="S82" i="93" s="1"/>
  <c r="T59" i="93"/>
  <c r="T37" i="93" a="1"/>
  <c r="R256" i="93" l="1"/>
  <c r="R257" i="93" s="1"/>
  <c r="R261" i="93" s="1"/>
  <c r="R262" i="93" s="1"/>
  <c r="O63" i="46"/>
  <c r="S71" i="93"/>
  <c r="S72" i="93" s="1"/>
  <c r="S73" i="93" s="1"/>
  <c r="S245" i="93" s="1"/>
  <c r="S246" i="93" s="1"/>
  <c r="O50" i="46"/>
  <c r="S65" i="93"/>
  <c r="S66" i="93" s="1"/>
  <c r="S67" i="93" s="1"/>
  <c r="S148" i="93"/>
  <c r="S212" i="93"/>
  <c r="R156" i="93"/>
  <c r="S154" i="93"/>
  <c r="T37" i="93"/>
  <c r="T39" i="93" s="1"/>
  <c r="T41" i="93" s="1"/>
  <c r="T79" i="93"/>
  <c r="T80" i="93" s="1"/>
  <c r="T81" i="93" s="1"/>
  <c r="T82" i="93" s="1"/>
  <c r="S220" i="93"/>
  <c r="S252" i="93"/>
  <c r="U59" i="93"/>
  <c r="U37" i="93" a="1"/>
  <c r="P50" i="46" l="1"/>
  <c r="T65" i="93"/>
  <c r="T66" i="93" s="1"/>
  <c r="T67" i="93" s="1"/>
  <c r="S256" i="93"/>
  <c r="S257" i="93" s="1"/>
  <c r="S261" i="93" s="1"/>
  <c r="S262" i="93" s="1"/>
  <c r="P63" i="46"/>
  <c r="T71" i="93"/>
  <c r="T72" i="93" s="1"/>
  <c r="T73" i="93" s="1"/>
  <c r="T245" i="93" s="1"/>
  <c r="T246" i="93" s="1"/>
  <c r="T148" i="93"/>
  <c r="T212" i="93"/>
  <c r="S156" i="93"/>
  <c r="T154" i="93"/>
  <c r="U37" i="93"/>
  <c r="U39" i="93" s="1"/>
  <c r="U41" i="93" s="1"/>
  <c r="U79" i="93"/>
  <c r="U80" i="93" s="1"/>
  <c r="U81" i="93" s="1"/>
  <c r="U82" i="93" s="1"/>
  <c r="T220" i="93"/>
  <c r="T252" i="93"/>
  <c r="V59" i="93"/>
  <c r="V37" i="93" a="1"/>
  <c r="Q63" i="46" l="1"/>
  <c r="U71" i="93"/>
  <c r="U72" i="93" s="1"/>
  <c r="U73" i="93" s="1"/>
  <c r="U245" i="93" s="1"/>
  <c r="U246" i="93" s="1"/>
  <c r="T256" i="93"/>
  <c r="T257" i="93" s="1"/>
  <c r="T261" i="93" s="1"/>
  <c r="T262" i="93" s="1"/>
  <c r="Q50" i="46"/>
  <c r="U65" i="93"/>
  <c r="U66" i="93" s="1"/>
  <c r="U67" i="93" s="1"/>
  <c r="U148" i="93"/>
  <c r="U212" i="93"/>
  <c r="U154" i="93"/>
  <c r="T156" i="93"/>
  <c r="V37" i="93"/>
  <c r="V39" i="93" s="1"/>
  <c r="V41" i="93" s="1"/>
  <c r="V79" i="93"/>
  <c r="V80" i="93" s="1"/>
  <c r="V81" i="93" s="1"/>
  <c r="V82" i="93" s="1"/>
  <c r="U252" i="93"/>
  <c r="U220" i="93"/>
  <c r="R50" i="46" l="1"/>
  <c r="V65" i="93"/>
  <c r="V66" i="93" s="1"/>
  <c r="V67" i="93" s="1"/>
  <c r="U256" i="93"/>
  <c r="U257" i="93" s="1"/>
  <c r="U261" i="93" s="1"/>
  <c r="U262" i="93" s="1"/>
  <c r="R63" i="46"/>
  <c r="V71" i="93"/>
  <c r="V72" i="93" s="1"/>
  <c r="V73" i="93" s="1"/>
  <c r="V245" i="93" s="1"/>
  <c r="V246" i="93" s="1"/>
  <c r="V148" i="93"/>
  <c r="V212" i="93"/>
  <c r="V154" i="93"/>
  <c r="U156" i="93"/>
  <c r="V252" i="93"/>
  <c r="V220" i="93"/>
  <c r="V256" i="93" l="1"/>
  <c r="V257" i="93" s="1"/>
  <c r="V261" i="93" s="1"/>
  <c r="V262" i="93" s="1"/>
  <c r="S63" i="46"/>
  <c r="W71" i="93"/>
  <c r="W72" i="93" s="1"/>
  <c r="W73" i="93" s="1"/>
  <c r="W245" i="93" s="1"/>
  <c r="W246" i="93" s="1"/>
  <c r="W256" i="93" s="1"/>
  <c r="W257" i="93" s="1"/>
  <c r="W261" i="93" s="1"/>
  <c r="W262" i="93" s="1"/>
  <c r="W265" i="93" s="1"/>
  <c r="S50" i="46"/>
  <c r="W65" i="93"/>
  <c r="W66" i="93" s="1"/>
  <c r="W67" i="93" s="1"/>
  <c r="V156" i="93"/>
  <c r="T50" i="46" l="1"/>
  <c r="X65" i="93"/>
  <c r="X66" i="93" s="1"/>
  <c r="X67" i="93" s="1"/>
  <c r="T63" i="46"/>
  <c r="X71" i="93"/>
  <c r="X72" i="93" s="1"/>
  <c r="X73" i="93" s="1"/>
  <c r="X245" i="93" s="1"/>
  <c r="X246" i="93" s="1"/>
  <c r="X256" i="93" s="1"/>
  <c r="X257" i="93" s="1"/>
  <c r="X261" i="93" s="1"/>
  <c r="X262" i="93" s="1"/>
  <c r="X265" i="93" l="1"/>
  <c r="U63" i="46"/>
  <c r="Y71" i="93"/>
  <c r="Y72" i="93" s="1"/>
  <c r="Y73" i="93" s="1"/>
  <c r="Y245" i="93" s="1"/>
  <c r="Y246" i="93" s="1"/>
  <c r="Y256" i="93" s="1"/>
  <c r="Y257" i="93" s="1"/>
  <c r="Y261" i="93" s="1"/>
  <c r="Y262" i="93" s="1"/>
  <c r="Y265" i="93" s="1"/>
  <c r="U50" i="46"/>
  <c r="Y65" i="93"/>
  <c r="Y66" i="93" s="1"/>
  <c r="Y67" i="93" s="1"/>
  <c r="V50" i="46" l="1"/>
  <c r="Z65" i="93"/>
  <c r="Z66" i="93" s="1"/>
  <c r="Z67" i="93" s="1"/>
  <c r="V63" i="46"/>
  <c r="Z71" i="93"/>
  <c r="Z72" i="93" s="1"/>
  <c r="Z73" i="93" s="1"/>
  <c r="Z245" i="93" s="1"/>
  <c r="Z246" i="93" s="1"/>
  <c r="Z256" i="93" s="1"/>
  <c r="Z257" i="93" s="1"/>
  <c r="Z261" i="93" s="1"/>
  <c r="Z262" i="93" s="1"/>
  <c r="Z265" i="93" s="1"/>
  <c r="W63" i="46" l="1"/>
  <c r="AA71" i="93"/>
  <c r="AA72" i="93" s="1"/>
  <c r="AA73" i="93" s="1"/>
  <c r="AA245" i="93" s="1"/>
  <c r="AA246" i="93" s="1"/>
  <c r="AA256" i="93" s="1"/>
  <c r="AA257" i="93" s="1"/>
  <c r="AA261" i="93" s="1"/>
  <c r="AA262" i="93" s="1"/>
  <c r="AA265" i="93" s="1"/>
  <c r="W50" i="46"/>
  <c r="AA65" i="93"/>
  <c r="AA66" i="93" s="1"/>
  <c r="AA67" i="93" s="1"/>
  <c r="X50" i="46" l="1"/>
  <c r="AB65" i="93"/>
  <c r="AB66" i="93" s="1"/>
  <c r="AB67" i="93" s="1"/>
  <c r="X63" i="46"/>
  <c r="AB71" i="93"/>
  <c r="AB72" i="93" s="1"/>
  <c r="AB73" i="93" s="1"/>
  <c r="AB245" i="93" s="1"/>
  <c r="AB246" i="93" s="1"/>
  <c r="AB256" i="93" s="1"/>
  <c r="AB257" i="93" s="1"/>
  <c r="AB261" i="93" s="1"/>
  <c r="AB262" i="93" s="1"/>
  <c r="AB265" i="93" s="1"/>
  <c r="Y63" i="46" l="1"/>
  <c r="AC71" i="93"/>
  <c r="AC72" i="93" s="1"/>
  <c r="AC73" i="93" s="1"/>
  <c r="AC245" i="93" s="1"/>
  <c r="AC246" i="93" s="1"/>
  <c r="AC256" i="93" s="1"/>
  <c r="AC257" i="93" s="1"/>
  <c r="AC261" i="93" s="1"/>
  <c r="AC262" i="93" s="1"/>
  <c r="AC265" i="93" s="1"/>
  <c r="Y50" i="46"/>
  <c r="AC65" i="93"/>
  <c r="AC66" i="93" s="1"/>
  <c r="AC67" i="93" s="1"/>
  <c r="Z50" i="46" l="1"/>
  <c r="AD65" i="93"/>
  <c r="AD66" i="93" s="1"/>
  <c r="AD67" i="93" s="1"/>
  <c r="Z63" i="46"/>
  <c r="AD71" i="93"/>
  <c r="AD72" i="93" s="1"/>
  <c r="AD73" i="93" s="1"/>
  <c r="AD245" i="93" s="1"/>
  <c r="AD246" i="93" s="1"/>
  <c r="AD256" i="93" s="1"/>
  <c r="AD257" i="93" s="1"/>
  <c r="AD261" i="93" s="1"/>
  <c r="AD262" i="93" s="1"/>
  <c r="AD265" i="93" s="1"/>
  <c r="AA63" i="46" l="1"/>
  <c r="AE71" i="93"/>
  <c r="AE72" i="93" s="1"/>
  <c r="AE73" i="93" s="1"/>
  <c r="AE245" i="93" s="1"/>
  <c r="AE246" i="93" s="1"/>
  <c r="AE256" i="93" s="1"/>
  <c r="AE257" i="93" s="1"/>
  <c r="AE261" i="93" s="1"/>
  <c r="AE262" i="93" s="1"/>
  <c r="AE265" i="93" s="1"/>
  <c r="AA50" i="46"/>
  <c r="AE65" i="93"/>
  <c r="AE66" i="93" s="1"/>
  <c r="AE67" i="93" s="1"/>
  <c r="X58" i="93"/>
  <c r="X60" i="93" s="1"/>
  <c r="X61" i="93" s="1"/>
  <c r="AB10" i="90"/>
  <c r="T10" i="90"/>
  <c r="AE10" i="90"/>
  <c r="R10" i="90"/>
  <c r="P28" i="46" s="1" a="1"/>
  <c r="P28" i="46" s="1"/>
  <c r="AH58" i="93" l="1"/>
  <c r="AH60" i="93" s="1"/>
  <c r="AH61" i="93" s="1"/>
  <c r="AC28" i="46" a="1"/>
  <c r="AC28" i="46" s="1"/>
  <c r="W58" i="93"/>
  <c r="W60" i="93" s="1"/>
  <c r="W61" i="93" s="1"/>
  <c r="R28" i="46" a="1"/>
  <c r="R28" i="46" s="1"/>
  <c r="AE58" i="93"/>
  <c r="AE60" i="93" s="1"/>
  <c r="AE61" i="93" s="1"/>
  <c r="Z28" i="46" a="1"/>
  <c r="Z28" i="46" s="1"/>
  <c r="AB50" i="46"/>
  <c r="AF65" i="93"/>
  <c r="AF66" i="93" s="1"/>
  <c r="AF67" i="93" s="1"/>
  <c r="AB63" i="46"/>
  <c r="AF71" i="93"/>
  <c r="AF72" i="93" s="1"/>
  <c r="AF73" i="93" s="1"/>
  <c r="AF245" i="93" s="1"/>
  <c r="AF246" i="93" s="1"/>
  <c r="AF256" i="93" s="1"/>
  <c r="AF257" i="93" s="1"/>
  <c r="AF261" i="93" s="1"/>
  <c r="AF262" i="93" s="1"/>
  <c r="AF265" i="93" s="1"/>
  <c r="W213" i="93"/>
  <c r="W214" i="93" s="1"/>
  <c r="W224" i="93" s="1"/>
  <c r="W225" i="93" s="1"/>
  <c r="W229" i="93" s="1"/>
  <c r="W230" i="93" s="1"/>
  <c r="W233" i="93" s="1"/>
  <c r="W149" i="93"/>
  <c r="W150" i="93" s="1"/>
  <c r="W160" i="93" s="1"/>
  <c r="W161" i="93" s="1"/>
  <c r="W165" i="93" s="1"/>
  <c r="W166" i="93" s="1"/>
  <c r="W169" i="93" s="1"/>
  <c r="W318" i="93" s="1"/>
  <c r="AE213" i="93"/>
  <c r="AE214" i="93" s="1"/>
  <c r="AE224" i="93" s="1"/>
  <c r="AE225" i="93" s="1"/>
  <c r="AE229" i="93" s="1"/>
  <c r="AE230" i="93" s="1"/>
  <c r="AE233" i="93" s="1"/>
  <c r="AE149" i="93"/>
  <c r="AE150" i="93" s="1"/>
  <c r="AH213" i="93"/>
  <c r="AH214" i="93" s="1"/>
  <c r="AH224" i="93" s="1"/>
  <c r="AH225" i="93" s="1"/>
  <c r="AH229" i="93" s="1"/>
  <c r="AH230" i="93" s="1"/>
  <c r="AH233" i="93" s="1"/>
  <c r="AH149" i="93"/>
  <c r="AH150" i="93" s="1"/>
  <c r="AH160" i="93" s="1"/>
  <c r="AH161" i="93" s="1"/>
  <c r="AH165" i="93" s="1"/>
  <c r="AH166" i="93" s="1"/>
  <c r="AH169" i="93" s="1"/>
  <c r="AH318" i="93" s="1"/>
  <c r="X213" i="93"/>
  <c r="X214" i="93" s="1"/>
  <c r="X224" i="93" s="1"/>
  <c r="X225" i="93" s="1"/>
  <c r="X229" i="93" s="1"/>
  <c r="X230" i="93" s="1"/>
  <c r="X233" i="93" s="1"/>
  <c r="X149" i="93"/>
  <c r="X150" i="93" s="1"/>
  <c r="X160" i="93" s="1"/>
  <c r="X161" i="93" s="1"/>
  <c r="X165" i="93" s="1"/>
  <c r="X166" i="93" s="1"/>
  <c r="X169" i="93" s="1"/>
  <c r="X318" i="93" s="1"/>
  <c r="U58" i="93"/>
  <c r="U60" i="93" s="1"/>
  <c r="U61" i="93" s="1"/>
  <c r="L10" i="90"/>
  <c r="J28" i="46" s="1" a="1"/>
  <c r="J28" i="46" s="1"/>
  <c r="K10" i="90"/>
  <c r="I28" i="46" s="1" a="1"/>
  <c r="I28" i="46" s="1"/>
  <c r="S10" i="90"/>
  <c r="Q28" i="46" s="1" a="1"/>
  <c r="Q28" i="46" s="1"/>
  <c r="F10" i="90"/>
  <c r="D28" i="46" s="1" a="1"/>
  <c r="D28" i="46" s="1"/>
  <c r="H10" i="90"/>
  <c r="F28" i="46" s="1" a="1"/>
  <c r="F28" i="46" s="1"/>
  <c r="G10" i="90"/>
  <c r="E28" i="46" s="1" a="1"/>
  <c r="E28" i="46" s="1"/>
  <c r="AA10" i="90"/>
  <c r="N10" i="90"/>
  <c r="L28" i="46" s="1" a="1"/>
  <c r="L28" i="46" s="1"/>
  <c r="AC10" i="90"/>
  <c r="AD10" i="90"/>
  <c r="Z10" i="90"/>
  <c r="J10" i="90"/>
  <c r="H28" i="46" s="1" a="1"/>
  <c r="H28" i="46" s="1"/>
  <c r="W10" i="90"/>
  <c r="M10" i="90"/>
  <c r="K28" i="46" s="1" a="1"/>
  <c r="K28" i="46" s="1"/>
  <c r="X10" i="90"/>
  <c r="Q10" i="90"/>
  <c r="O28" i="46" s="1" a="1"/>
  <c r="O28" i="46" s="1"/>
  <c r="V10" i="90"/>
  <c r="O10" i="90"/>
  <c r="M28" i="46" s="1" a="1"/>
  <c r="M28" i="46" s="1"/>
  <c r="AF10" i="90"/>
  <c r="Y10" i="90"/>
  <c r="AH10" i="90"/>
  <c r="P10" i="90"/>
  <c r="N28" i="46" s="1" a="1"/>
  <c r="N28" i="46" s="1"/>
  <c r="AG10" i="90"/>
  <c r="AA58" i="93" l="1"/>
  <c r="AA60" i="93" s="1"/>
  <c r="AA61" i="93" s="1"/>
  <c r="V28" i="46" a="1"/>
  <c r="V28" i="46" s="1"/>
  <c r="AG58" i="93"/>
  <c r="AG60" i="93" s="1"/>
  <c r="AG61" i="93" s="1"/>
  <c r="AB28" i="46" a="1"/>
  <c r="AB28" i="46" s="1"/>
  <c r="AC58" i="93"/>
  <c r="AC60" i="93" s="1"/>
  <c r="AC61" i="93" s="1"/>
  <c r="X28" i="46" a="1"/>
  <c r="X28" i="46" s="1"/>
  <c r="AK58" i="93"/>
  <c r="AK60" i="93" s="1"/>
  <c r="AK61" i="93" s="1"/>
  <c r="AF28" i="46" a="1"/>
  <c r="AF28" i="46" s="1"/>
  <c r="AB58" i="93"/>
  <c r="AB60" i="93" s="1"/>
  <c r="AB61" i="93" s="1"/>
  <c r="W28" i="46" a="1"/>
  <c r="W28" i="46" s="1"/>
  <c r="AI58" i="93"/>
  <c r="AI60" i="93" s="1"/>
  <c r="AI61" i="93" s="1"/>
  <c r="AD28" i="46" a="1"/>
  <c r="AD28" i="46" s="1"/>
  <c r="AD58" i="93"/>
  <c r="AD60" i="93" s="1"/>
  <c r="AD61" i="93" s="1"/>
  <c r="Y28" i="46" a="1"/>
  <c r="Y28" i="46" s="1"/>
  <c r="Y58" i="93"/>
  <c r="Y60" i="93" s="1"/>
  <c r="Y61" i="93" s="1"/>
  <c r="T28" i="46" a="1"/>
  <c r="T28" i="46" s="1"/>
  <c r="Z58" i="93"/>
  <c r="Z60" i="93" s="1"/>
  <c r="Z61" i="93" s="1"/>
  <c r="U28" i="46" a="1"/>
  <c r="U28" i="46" s="1"/>
  <c r="AJ58" i="93"/>
  <c r="AJ60" i="93" s="1"/>
  <c r="AJ61" i="93" s="1"/>
  <c r="AE28" i="46" a="1"/>
  <c r="AE28" i="46" s="1"/>
  <c r="AF58" i="93"/>
  <c r="AF60" i="93" s="1"/>
  <c r="AF61" i="93" s="1"/>
  <c r="AA28" i="46" a="1"/>
  <c r="AA28" i="46" s="1"/>
  <c r="AC63" i="46"/>
  <c r="AG71" i="93"/>
  <c r="AG72" i="93" s="1"/>
  <c r="AG73" i="93" s="1"/>
  <c r="AG245" i="93" s="1"/>
  <c r="AG246" i="93" s="1"/>
  <c r="AG256" i="93" s="1"/>
  <c r="AG257" i="93" s="1"/>
  <c r="AG261" i="93" s="1"/>
  <c r="AG262" i="93" s="1"/>
  <c r="AG265" i="93" s="1"/>
  <c r="AC50" i="46"/>
  <c r="AG65" i="93"/>
  <c r="AG66" i="93" s="1"/>
  <c r="AG67" i="93" s="1"/>
  <c r="AC213" i="93"/>
  <c r="AC214" i="93" s="1"/>
  <c r="AC224" i="93" s="1"/>
  <c r="AC225" i="93" s="1"/>
  <c r="AC229" i="93" s="1"/>
  <c r="AC230" i="93" s="1"/>
  <c r="AC233" i="93" s="1"/>
  <c r="AC149" i="93"/>
  <c r="AC150" i="93" s="1"/>
  <c r="AC160" i="93" s="1"/>
  <c r="AC161" i="93" s="1"/>
  <c r="AC165" i="93" s="1"/>
  <c r="AC166" i="93" s="1"/>
  <c r="AC169" i="93" s="1"/>
  <c r="AC318" i="93" s="1"/>
  <c r="AG213" i="93"/>
  <c r="AG214" i="93" s="1"/>
  <c r="AG224" i="93" s="1"/>
  <c r="AG225" i="93" s="1"/>
  <c r="AG229" i="93" s="1"/>
  <c r="AG230" i="93" s="1"/>
  <c r="AG233" i="93" s="1"/>
  <c r="AG149" i="93"/>
  <c r="AG150" i="93" s="1"/>
  <c r="AG160" i="93" s="1"/>
  <c r="AG161" i="93" s="1"/>
  <c r="AG165" i="93" s="1"/>
  <c r="AG166" i="93" s="1"/>
  <c r="AG169" i="93" s="1"/>
  <c r="AG318" i="93" s="1"/>
  <c r="Z213" i="93"/>
  <c r="Z214" i="93" s="1"/>
  <c r="Z224" i="93" s="1"/>
  <c r="Z225" i="93" s="1"/>
  <c r="Z229" i="93" s="1"/>
  <c r="Z230" i="93" s="1"/>
  <c r="Z233" i="93" s="1"/>
  <c r="Z149" i="93"/>
  <c r="Z150" i="93" s="1"/>
  <c r="Z160" i="93" s="1"/>
  <c r="Z161" i="93" s="1"/>
  <c r="Z165" i="93" s="1"/>
  <c r="Z166" i="93" s="1"/>
  <c r="Z169" i="93" s="1"/>
  <c r="Z318" i="93" s="1"/>
  <c r="AF213" i="93"/>
  <c r="AF214" i="93" s="1"/>
  <c r="AF224" i="93" s="1"/>
  <c r="AF225" i="93" s="1"/>
  <c r="AF229" i="93" s="1"/>
  <c r="AF230" i="93" s="1"/>
  <c r="AF233" i="93" s="1"/>
  <c r="AF149" i="93"/>
  <c r="AF150" i="93" s="1"/>
  <c r="AF160" i="93" s="1"/>
  <c r="AF161" i="93" s="1"/>
  <c r="AF165" i="93" s="1"/>
  <c r="AF166" i="93" s="1"/>
  <c r="AF169" i="93" s="1"/>
  <c r="AF318" i="93" s="1"/>
  <c r="AJ213" i="93"/>
  <c r="AJ214" i="93" s="1"/>
  <c r="AJ224" i="93" s="1"/>
  <c r="AJ225" i="93" s="1"/>
  <c r="AJ229" i="93" s="1"/>
  <c r="AJ230" i="93" s="1"/>
  <c r="AJ233" i="93" s="1"/>
  <c r="AJ149" i="93"/>
  <c r="AJ150" i="93" s="1"/>
  <c r="AJ160" i="93" s="1"/>
  <c r="AJ161" i="93" s="1"/>
  <c r="AJ165" i="93" s="1"/>
  <c r="AJ166" i="93" s="1"/>
  <c r="AJ169" i="93" s="1"/>
  <c r="AJ318" i="93" s="1"/>
  <c r="AK149" i="93"/>
  <c r="AK150" i="93" s="1"/>
  <c r="AK160" i="93" s="1"/>
  <c r="AK161" i="93" s="1"/>
  <c r="AK165" i="93" s="1"/>
  <c r="AK166" i="93" s="1"/>
  <c r="AK169" i="93" s="1"/>
  <c r="AK318" i="93" s="1"/>
  <c r="AK213" i="93"/>
  <c r="AK214" i="93" s="1"/>
  <c r="AK224" i="93" s="1"/>
  <c r="AK225" i="93" s="1"/>
  <c r="AK229" i="93" s="1"/>
  <c r="AK230" i="93" s="1"/>
  <c r="AK233" i="93" s="1"/>
  <c r="AD213" i="93"/>
  <c r="AD214" i="93" s="1"/>
  <c r="AD224" i="93" s="1"/>
  <c r="AD225" i="93" s="1"/>
  <c r="AD229" i="93" s="1"/>
  <c r="AD230" i="93" s="1"/>
  <c r="AD233" i="93" s="1"/>
  <c r="AD149" i="93"/>
  <c r="AD150" i="93" s="1"/>
  <c r="AD160" i="93" s="1"/>
  <c r="AD161" i="93" s="1"/>
  <c r="AD165" i="93" s="1"/>
  <c r="AD166" i="93" s="1"/>
  <c r="AD169" i="93" s="1"/>
  <c r="AD318" i="93" s="1"/>
  <c r="AE160" i="93"/>
  <c r="AE161" i="93" s="1"/>
  <c r="AE165" i="93" s="1"/>
  <c r="AE166" i="93" s="1"/>
  <c r="AE169" i="93" s="1"/>
  <c r="AE318" i="93" s="1"/>
  <c r="AB213" i="93"/>
  <c r="AB214" i="93" s="1"/>
  <c r="AB224" i="93" s="1"/>
  <c r="AB225" i="93" s="1"/>
  <c r="AB229" i="93" s="1"/>
  <c r="AB230" i="93" s="1"/>
  <c r="AB233" i="93" s="1"/>
  <c r="AB149" i="93"/>
  <c r="AB150" i="93" s="1"/>
  <c r="AB160" i="93" s="1"/>
  <c r="AB161" i="93" s="1"/>
  <c r="AB165" i="93" s="1"/>
  <c r="AB166" i="93" s="1"/>
  <c r="AB169" i="93" s="1"/>
  <c r="AB318" i="93" s="1"/>
  <c r="Y213" i="93"/>
  <c r="Y214" i="93" s="1"/>
  <c r="Y224" i="93" s="1"/>
  <c r="Y225" i="93" s="1"/>
  <c r="Y229" i="93" s="1"/>
  <c r="Y230" i="93" s="1"/>
  <c r="Y233" i="93" s="1"/>
  <c r="Y149" i="93"/>
  <c r="Y150" i="93" s="1"/>
  <c r="AI213" i="93"/>
  <c r="AI214" i="93" s="1"/>
  <c r="AI224" i="93" s="1"/>
  <c r="AI225" i="93" s="1"/>
  <c r="AI229" i="93" s="1"/>
  <c r="AI230" i="93" s="1"/>
  <c r="AI233" i="93" s="1"/>
  <c r="AI149" i="93"/>
  <c r="AI150" i="93" s="1"/>
  <c r="AI160" i="93" s="1"/>
  <c r="AI161" i="93" s="1"/>
  <c r="AI165" i="93" s="1"/>
  <c r="AI166" i="93" s="1"/>
  <c r="AI169" i="93" s="1"/>
  <c r="AI318" i="93" s="1"/>
  <c r="AA213" i="93"/>
  <c r="AA214" i="93" s="1"/>
  <c r="AA224" i="93" s="1"/>
  <c r="AA225" i="93" s="1"/>
  <c r="AA229" i="93" s="1"/>
  <c r="AA230" i="93" s="1"/>
  <c r="AA233" i="93" s="1"/>
  <c r="AA149" i="93"/>
  <c r="AA150" i="93" s="1"/>
  <c r="U149" i="93"/>
  <c r="U150" i="93" s="1"/>
  <c r="U160" i="93" s="1"/>
  <c r="U161" i="93" s="1"/>
  <c r="U165" i="93" s="1"/>
  <c r="U166" i="93" s="1"/>
  <c r="U213" i="93"/>
  <c r="U214" i="93" s="1"/>
  <c r="U224" i="93" s="1"/>
  <c r="U225" i="93" s="1"/>
  <c r="U229" i="93" s="1"/>
  <c r="U230" i="93" s="1"/>
  <c r="R58" i="93"/>
  <c r="R60" i="93" s="1"/>
  <c r="R61" i="93" s="1"/>
  <c r="J58" i="93"/>
  <c r="J60" i="93" s="1"/>
  <c r="J61" i="93" s="1"/>
  <c r="L58" i="93"/>
  <c r="L60" i="93" s="1"/>
  <c r="L61" i="93" s="1"/>
  <c r="T58" i="93"/>
  <c r="T60" i="93" s="1"/>
  <c r="T61" i="93" s="1"/>
  <c r="K58" i="93"/>
  <c r="K60" i="93" s="1"/>
  <c r="K61" i="93" s="1"/>
  <c r="I58" i="93"/>
  <c r="I60" i="93" s="1"/>
  <c r="I61" i="93" s="1"/>
  <c r="P58" i="93"/>
  <c r="P60" i="93" s="1"/>
  <c r="P61" i="93" s="1"/>
  <c r="M58" i="93"/>
  <c r="M60" i="93" s="1"/>
  <c r="M61" i="93" s="1"/>
  <c r="M149" i="93" s="1"/>
  <c r="M150" i="93" s="1"/>
  <c r="M160" i="93" s="1"/>
  <c r="M161" i="93" s="1"/>
  <c r="M165" i="93" s="1"/>
  <c r="M166" i="93" s="1"/>
  <c r="S58" i="93"/>
  <c r="S60" i="93" s="1"/>
  <c r="S61" i="93" s="1"/>
  <c r="Q58" i="93"/>
  <c r="Q60" i="93" s="1"/>
  <c r="Q61" i="93" s="1"/>
  <c r="V58" i="93"/>
  <c r="V60" i="93" s="1"/>
  <c r="V61" i="93" s="1"/>
  <c r="N58" i="93"/>
  <c r="N60" i="93" s="1"/>
  <c r="N61" i="93" s="1"/>
  <c r="O58" i="93"/>
  <c r="O60" i="93" s="1"/>
  <c r="O61" i="93" s="1"/>
  <c r="AD50" i="46" l="1"/>
  <c r="AH65" i="93"/>
  <c r="AH66" i="93" s="1"/>
  <c r="AH67" i="93" s="1"/>
  <c r="AD63" i="46"/>
  <c r="AH71" i="93"/>
  <c r="AH72" i="93" s="1"/>
  <c r="AH73" i="93" s="1"/>
  <c r="AH245" i="93" s="1"/>
  <c r="AH246" i="93" s="1"/>
  <c r="AH256" i="93" s="1"/>
  <c r="AH257" i="93" s="1"/>
  <c r="AH261" i="93" s="1"/>
  <c r="AH262" i="93" s="1"/>
  <c r="AH265" i="93" s="1"/>
  <c r="AA160" i="93"/>
  <c r="AA161" i="93" s="1"/>
  <c r="AA165" i="93" s="1"/>
  <c r="AA166" i="93" s="1"/>
  <c r="AA169" i="93" s="1"/>
  <c r="AA318" i="93" s="1"/>
  <c r="Y160" i="93"/>
  <c r="Y161" i="93" s="1"/>
  <c r="Y165" i="93" s="1"/>
  <c r="Y166" i="93" s="1"/>
  <c r="Y169" i="93" s="1"/>
  <c r="Y318" i="93" s="1"/>
  <c r="J149" i="93"/>
  <c r="J150" i="93" s="1"/>
  <c r="J160" i="93" s="1"/>
  <c r="J161" i="93" s="1"/>
  <c r="J165" i="93" s="1"/>
  <c r="J166" i="93" s="1"/>
  <c r="J213" i="93"/>
  <c r="J214" i="93" s="1"/>
  <c r="J224" i="93" s="1"/>
  <c r="J225" i="93" s="1"/>
  <c r="J229" i="93" s="1"/>
  <c r="J230" i="93" s="1"/>
  <c r="S149" i="93"/>
  <c r="S150" i="93" s="1"/>
  <c r="S160" i="93" s="1"/>
  <c r="S161" i="93" s="1"/>
  <c r="S165" i="93" s="1"/>
  <c r="S166" i="93" s="1"/>
  <c r="S213" i="93"/>
  <c r="S214" i="93" s="1"/>
  <c r="S224" i="93" s="1"/>
  <c r="S225" i="93" s="1"/>
  <c r="S229" i="93" s="1"/>
  <c r="S230" i="93" s="1"/>
  <c r="T149" i="93"/>
  <c r="T150" i="93" s="1"/>
  <c r="T160" i="93" s="1"/>
  <c r="T161" i="93" s="1"/>
  <c r="T165" i="93" s="1"/>
  <c r="T166" i="93" s="1"/>
  <c r="T213" i="93"/>
  <c r="T214" i="93" s="1"/>
  <c r="T224" i="93" s="1"/>
  <c r="T225" i="93" s="1"/>
  <c r="T229" i="93" s="1"/>
  <c r="T230" i="93" s="1"/>
  <c r="K213" i="93"/>
  <c r="K214" i="93" s="1"/>
  <c r="K224" i="93" s="1"/>
  <c r="K225" i="93" s="1"/>
  <c r="K229" i="93" s="1"/>
  <c r="K230" i="93" s="1"/>
  <c r="K149" i="93"/>
  <c r="K150" i="93" s="1"/>
  <c r="K160" i="93" s="1"/>
  <c r="K161" i="93" s="1"/>
  <c r="K165" i="93" s="1"/>
  <c r="K166" i="93" s="1"/>
  <c r="L213" i="93"/>
  <c r="L214" i="93" s="1"/>
  <c r="L224" i="93" s="1"/>
  <c r="L225" i="93" s="1"/>
  <c r="L229" i="93" s="1"/>
  <c r="L230" i="93" s="1"/>
  <c r="L149" i="93"/>
  <c r="L150" i="93" s="1"/>
  <c r="L160" i="93" s="1"/>
  <c r="L161" i="93" s="1"/>
  <c r="L165" i="93" s="1"/>
  <c r="L166" i="93" s="1"/>
  <c r="I213" i="93"/>
  <c r="I214" i="93" s="1"/>
  <c r="I224" i="93" s="1"/>
  <c r="I225" i="93" s="1"/>
  <c r="I229" i="93" s="1"/>
  <c r="I230" i="93" s="1"/>
  <c r="I149" i="93"/>
  <c r="I150" i="93" s="1"/>
  <c r="I160" i="93" s="1"/>
  <c r="I161" i="93" s="1"/>
  <c r="I165" i="93" s="1"/>
  <c r="I166" i="93" s="1"/>
  <c r="R213" i="93"/>
  <c r="R214" i="93" s="1"/>
  <c r="R224" i="93" s="1"/>
  <c r="R225" i="93" s="1"/>
  <c r="R229" i="93" s="1"/>
  <c r="R230" i="93" s="1"/>
  <c r="R149" i="93"/>
  <c r="R150" i="93" s="1"/>
  <c r="R160" i="93" s="1"/>
  <c r="R161" i="93" s="1"/>
  <c r="R165" i="93" s="1"/>
  <c r="R166" i="93" s="1"/>
  <c r="P149" i="93"/>
  <c r="P150" i="93" s="1"/>
  <c r="P160" i="93" s="1"/>
  <c r="P161" i="93" s="1"/>
  <c r="P165" i="93" s="1"/>
  <c r="P166" i="93" s="1"/>
  <c r="P213" i="93"/>
  <c r="P214" i="93" s="1"/>
  <c r="P224" i="93" s="1"/>
  <c r="P225" i="93" s="1"/>
  <c r="P229" i="93" s="1"/>
  <c r="P230" i="93" s="1"/>
  <c r="Q213" i="93"/>
  <c r="Q214" i="93" s="1"/>
  <c r="Q224" i="93" s="1"/>
  <c r="Q225" i="93" s="1"/>
  <c r="Q229" i="93" s="1"/>
  <c r="Q230" i="93" s="1"/>
  <c r="Q149" i="93"/>
  <c r="Q150" i="93" s="1"/>
  <c r="Q160" i="93" s="1"/>
  <c r="Q161" i="93" s="1"/>
  <c r="Q165" i="93" s="1"/>
  <c r="Q166" i="93" s="1"/>
  <c r="M213" i="93"/>
  <c r="M214" i="93" s="1"/>
  <c r="M224" i="93" s="1"/>
  <c r="M225" i="93" s="1"/>
  <c r="M229" i="93" s="1"/>
  <c r="M230" i="93" s="1"/>
  <c r="O213" i="93"/>
  <c r="O214" i="93" s="1"/>
  <c r="O224" i="93" s="1"/>
  <c r="O225" i="93" s="1"/>
  <c r="O229" i="93" s="1"/>
  <c r="O230" i="93" s="1"/>
  <c r="N213" i="93"/>
  <c r="N214" i="93" s="1"/>
  <c r="N224" i="93" s="1"/>
  <c r="N225" i="93" s="1"/>
  <c r="N229" i="93" s="1"/>
  <c r="N230" i="93" s="1"/>
  <c r="V213" i="93"/>
  <c r="V214" i="93" s="1"/>
  <c r="V224" i="93" s="1"/>
  <c r="V225" i="93" s="1"/>
  <c r="V229" i="93" s="1"/>
  <c r="V230" i="93" s="1"/>
  <c r="N149" i="93"/>
  <c r="N150" i="93" s="1"/>
  <c r="N160" i="93" s="1"/>
  <c r="N161" i="93" s="1"/>
  <c r="N165" i="93" s="1"/>
  <c r="N166" i="93" s="1"/>
  <c r="V149" i="93"/>
  <c r="V150" i="93" s="1"/>
  <c r="V160" i="93" s="1"/>
  <c r="V161" i="93" s="1"/>
  <c r="V165" i="93" s="1"/>
  <c r="V166" i="93" s="1"/>
  <c r="O149" i="93"/>
  <c r="O150" i="93" s="1"/>
  <c r="O160" i="93" s="1"/>
  <c r="O161" i="93" s="1"/>
  <c r="O165" i="93" s="1"/>
  <c r="O166" i="93" s="1"/>
  <c r="AE63" i="46" l="1"/>
  <c r="AI71" i="93"/>
  <c r="AI72" i="93" s="1"/>
  <c r="AI73" i="93" s="1"/>
  <c r="AI245" i="93" s="1"/>
  <c r="AI246" i="93" s="1"/>
  <c r="AI256" i="93" s="1"/>
  <c r="AI257" i="93" s="1"/>
  <c r="AI261" i="93" s="1"/>
  <c r="AI262" i="93" s="1"/>
  <c r="AI265" i="93" s="1"/>
  <c r="AE50" i="46"/>
  <c r="AI65" i="93"/>
  <c r="AI66" i="93" s="1"/>
  <c r="AI67" i="93" s="1"/>
  <c r="B271" i="93"/>
  <c r="B98" i="92" s="1"/>
  <c r="B178" i="93"/>
  <c r="B72" i="92" s="1"/>
  <c r="AF50" i="46" l="1"/>
  <c r="AK65" i="93" s="1"/>
  <c r="AK66" i="93" s="1"/>
  <c r="AK67" i="93" s="1"/>
  <c r="AJ65" i="93"/>
  <c r="AJ66" i="93" s="1"/>
  <c r="AJ67" i="93" s="1"/>
  <c r="AF63" i="46"/>
  <c r="AK71" i="93" s="1"/>
  <c r="AK72" i="93" s="1"/>
  <c r="AK73" i="93" s="1"/>
  <c r="AK245" i="93" s="1"/>
  <c r="AK246" i="93" s="1"/>
  <c r="AK256" i="93" s="1"/>
  <c r="AK257" i="93" s="1"/>
  <c r="AK261" i="93" s="1"/>
  <c r="AK262" i="93" s="1"/>
  <c r="AJ71" i="93"/>
  <c r="AJ72" i="93" s="1"/>
  <c r="AJ73" i="93" s="1"/>
  <c r="AJ245" i="93" s="1"/>
  <c r="AJ246" i="93" s="1"/>
  <c r="AJ256" i="93" s="1"/>
  <c r="AJ257" i="93" s="1"/>
  <c r="AJ261" i="93" s="1"/>
  <c r="AJ262" i="93" s="1"/>
  <c r="AJ265" i="93" s="1"/>
  <c r="C16" i="92"/>
  <c r="AK265" i="93" l="1"/>
  <c r="B278" i="93"/>
  <c r="D98" i="92" s="1"/>
  <c r="B135" i="93"/>
  <c r="F169" i="93" l="1"/>
  <c r="F318" i="93" s="1"/>
  <c r="H169" i="93"/>
  <c r="H318" i="93" s="1"/>
  <c r="K135" i="93"/>
  <c r="U135" i="93"/>
  <c r="L135" i="93"/>
  <c r="I135" i="93"/>
  <c r="Q135" i="93"/>
  <c r="P135" i="93"/>
  <c r="N135" i="93"/>
  <c r="J135" i="93"/>
  <c r="V135" i="93"/>
  <c r="R135" i="93"/>
  <c r="S135" i="93"/>
  <c r="T135" i="93"/>
  <c r="O135" i="93"/>
  <c r="M135" i="93"/>
  <c r="E265" i="93"/>
  <c r="J233" i="93"/>
  <c r="P265" i="93"/>
  <c r="V233" i="93"/>
  <c r="S169" i="93"/>
  <c r="S318" i="93" s="1"/>
  <c r="N169" i="93"/>
  <c r="N318" i="93" s="1"/>
  <c r="G233" i="93"/>
  <c r="H233" i="93"/>
  <c r="P233" i="93"/>
  <c r="V265" i="93"/>
  <c r="G169" i="93"/>
  <c r="G318" i="93" s="1"/>
  <c r="D169" i="93"/>
  <c r="E233" i="93"/>
  <c r="L233" i="93"/>
  <c r="Q233" i="93"/>
  <c r="U169" i="93"/>
  <c r="U318" i="93" s="1"/>
  <c r="R169" i="93"/>
  <c r="R318" i="93" s="1"/>
  <c r="O169" i="93"/>
  <c r="O318" i="93" s="1"/>
  <c r="G265" i="93"/>
  <c r="J265" i="93"/>
  <c r="Q265" i="93"/>
  <c r="F265" i="93"/>
  <c r="H265" i="93"/>
  <c r="R233" i="93"/>
  <c r="Q169" i="93"/>
  <c r="Q318" i="93" s="1"/>
  <c r="T169" i="93"/>
  <c r="T318" i="93" s="1"/>
  <c r="D265" i="93"/>
  <c r="F233" i="93"/>
  <c r="L265" i="93"/>
  <c r="R265" i="93"/>
  <c r="I233" i="93"/>
  <c r="M265" i="93"/>
  <c r="S233" i="93"/>
  <c r="J169" i="93"/>
  <c r="J318" i="93" s="1"/>
  <c r="P169" i="93"/>
  <c r="P318" i="93" s="1"/>
  <c r="I265" i="93"/>
  <c r="M233" i="93"/>
  <c r="S265" i="93"/>
  <c r="N233" i="93"/>
  <c r="T265" i="93"/>
  <c r="L169" i="93"/>
  <c r="L318" i="93" s="1"/>
  <c r="M169" i="93"/>
  <c r="M318" i="93" s="1"/>
  <c r="N265" i="93"/>
  <c r="T233" i="93"/>
  <c r="K233" i="93"/>
  <c r="O265" i="93"/>
  <c r="U265" i="93"/>
  <c r="K169" i="93"/>
  <c r="K318" i="93" s="1"/>
  <c r="V169" i="93"/>
  <c r="V318" i="93" s="1"/>
  <c r="D233" i="93"/>
  <c r="D234" i="93" s="1"/>
  <c r="I169" i="93"/>
  <c r="I318" i="93" s="1"/>
  <c r="K265" i="93"/>
  <c r="O233" i="93"/>
  <c r="U233" i="93"/>
  <c r="E169" i="93"/>
  <c r="E318" i="93" s="1"/>
  <c r="H135" i="93"/>
  <c r="G135" i="93" s="1"/>
  <c r="F135" i="93" s="1"/>
  <c r="E135" i="93" s="1"/>
  <c r="D135" i="93" s="1"/>
  <c r="B270" i="93" l="1"/>
  <c r="B277" i="93"/>
  <c r="B177" i="93"/>
  <c r="E234" i="93"/>
  <c r="E235" i="93" s="1"/>
  <c r="D315" i="93"/>
  <c r="D319" i="93" s="1"/>
  <c r="D266" i="93"/>
  <c r="D170" i="93"/>
  <c r="D318" i="93"/>
  <c r="E170" i="93" l="1"/>
  <c r="E171" i="93" s="1"/>
  <c r="D314" i="93"/>
  <c r="B180" i="93"/>
  <c r="D72" i="92" s="1"/>
  <c r="B59" i="92"/>
  <c r="E266" i="93"/>
  <c r="E267" i="93" s="1"/>
  <c r="D316" i="93"/>
  <c r="B280" i="93"/>
  <c r="D114" i="92" s="1"/>
  <c r="D90" i="92"/>
  <c r="F234" i="93"/>
  <c r="E315" i="93"/>
  <c r="E319" i="93" s="1"/>
  <c r="G234" i="93" l="1"/>
  <c r="F315" i="93"/>
  <c r="F319" i="93" s="1"/>
  <c r="F235" i="93"/>
  <c r="D320" i="93"/>
  <c r="D317" i="93"/>
  <c r="E316" i="93"/>
  <c r="F266" i="93"/>
  <c r="F170" i="93"/>
  <c r="E314" i="93"/>
  <c r="G170" i="93" l="1"/>
  <c r="F171" i="93"/>
  <c r="F314" i="93"/>
  <c r="G266" i="93"/>
  <c r="F316" i="93"/>
  <c r="F267" i="93"/>
  <c r="E320" i="93"/>
  <c r="E317" i="93"/>
  <c r="B90" i="92"/>
  <c r="B273" i="93"/>
  <c r="B114" i="92" s="1"/>
  <c r="H234" i="93"/>
  <c r="G235" i="93"/>
  <c r="G315" i="93"/>
  <c r="G319" i="93" s="1"/>
  <c r="F320" i="93" l="1"/>
  <c r="F317" i="93"/>
  <c r="H266" i="93"/>
  <c r="G316" i="93"/>
  <c r="G267" i="93"/>
  <c r="H315" i="93"/>
  <c r="H319" i="93" s="1"/>
  <c r="I234" i="93"/>
  <c r="H235" i="93"/>
  <c r="G314" i="93"/>
  <c r="G171" i="93"/>
  <c r="H170" i="93"/>
  <c r="I235" i="93" l="1"/>
  <c r="I315" i="93"/>
  <c r="I319" i="93" s="1"/>
  <c r="J234" i="93"/>
  <c r="G320" i="93"/>
  <c r="G317" i="93"/>
  <c r="H267" i="93"/>
  <c r="H316" i="93"/>
  <c r="I266" i="93"/>
  <c r="H314" i="93"/>
  <c r="H171" i="93"/>
  <c r="I170" i="93"/>
  <c r="J266" i="93" l="1"/>
  <c r="I316" i="93"/>
  <c r="I267" i="93"/>
  <c r="H320" i="93"/>
  <c r="H317" i="93"/>
  <c r="J315" i="93"/>
  <c r="J319" i="93" s="1"/>
  <c r="J235" i="93"/>
  <c r="K234" i="93"/>
  <c r="I171" i="93"/>
  <c r="I314" i="93"/>
  <c r="J170" i="93"/>
  <c r="K170" i="93" l="1"/>
  <c r="K171" i="93" s="1"/>
  <c r="J314" i="93"/>
  <c r="J171" i="93"/>
  <c r="K315" i="93"/>
  <c r="K319" i="93" s="1"/>
  <c r="L234" i="93"/>
  <c r="K235" i="93"/>
  <c r="I320" i="93"/>
  <c r="I317" i="93"/>
  <c r="J267" i="93"/>
  <c r="K266" i="93"/>
  <c r="J316" i="93"/>
  <c r="J317" i="93" l="1"/>
  <c r="J320" i="93"/>
  <c r="K267" i="93"/>
  <c r="L266" i="93"/>
  <c r="K316" i="93"/>
  <c r="L235" i="93"/>
  <c r="L315" i="93"/>
  <c r="L319" i="93" s="1"/>
  <c r="M234" i="93"/>
  <c r="L170" i="93"/>
  <c r="K314" i="93"/>
  <c r="M170" i="93" l="1"/>
  <c r="L171" i="93"/>
  <c r="L314" i="93"/>
  <c r="M315" i="93"/>
  <c r="M319" i="93" s="1"/>
  <c r="M235" i="93"/>
  <c r="N234" i="93"/>
  <c r="K320" i="93"/>
  <c r="K317" i="93"/>
  <c r="L316" i="93"/>
  <c r="L267" i="93"/>
  <c r="M266" i="93"/>
  <c r="M267" i="93" l="1"/>
  <c r="M316" i="93"/>
  <c r="N266" i="93"/>
  <c r="L320" i="93"/>
  <c r="L317" i="93"/>
  <c r="N315" i="93"/>
  <c r="N319" i="93" s="1"/>
  <c r="O234" i="93"/>
  <c r="N235" i="93"/>
  <c r="M171" i="93"/>
  <c r="M314" i="93"/>
  <c r="N170" i="93"/>
  <c r="N314" i="93" l="1"/>
  <c r="N171" i="93"/>
  <c r="O170" i="93"/>
  <c r="P234" i="93"/>
  <c r="O235" i="93"/>
  <c r="O315" i="93"/>
  <c r="O319" i="93" s="1"/>
  <c r="N316" i="93"/>
  <c r="N267" i="93"/>
  <c r="O266" i="93"/>
  <c r="M320" i="93"/>
  <c r="M317" i="93"/>
  <c r="O267" i="93" l="1"/>
  <c r="O316" i="93"/>
  <c r="P266" i="93"/>
  <c r="N320" i="93"/>
  <c r="N317" i="93"/>
  <c r="Q234" i="93"/>
  <c r="P315" i="93"/>
  <c r="P319" i="93" s="1"/>
  <c r="P235" i="93"/>
  <c r="O314" i="93"/>
  <c r="O171" i="93"/>
  <c r="P170" i="93"/>
  <c r="P314" i="93" l="1"/>
  <c r="Q170" i="93"/>
  <c r="P171" i="93"/>
  <c r="Q235" i="93"/>
  <c r="R234" i="93"/>
  <c r="Q315" i="93"/>
  <c r="Q319" i="93" s="1"/>
  <c r="P316" i="93"/>
  <c r="P267" i="93"/>
  <c r="Q266" i="93"/>
  <c r="O320" i="93"/>
  <c r="O317" i="93"/>
  <c r="Q316" i="93" l="1"/>
  <c r="R266" i="93"/>
  <c r="Q267" i="93"/>
  <c r="P320" i="93"/>
  <c r="P317" i="93"/>
  <c r="R315" i="93"/>
  <c r="R319" i="93" s="1"/>
  <c r="S234" i="93"/>
  <c r="R235" i="93"/>
  <c r="Q314" i="93"/>
  <c r="R170" i="93"/>
  <c r="Q171" i="93"/>
  <c r="S170" i="93" l="1"/>
  <c r="R171" i="93"/>
  <c r="R314" i="93"/>
  <c r="S315" i="93"/>
  <c r="S319" i="93" s="1"/>
  <c r="T234" i="93"/>
  <c r="S235" i="93"/>
  <c r="R267" i="93"/>
  <c r="S266" i="93"/>
  <c r="R316" i="93"/>
  <c r="Q320" i="93"/>
  <c r="Q317" i="93"/>
  <c r="R320" i="93" l="1"/>
  <c r="R317" i="93"/>
  <c r="T266" i="93"/>
  <c r="S267" i="93"/>
  <c r="S316" i="93"/>
  <c r="U234" i="93"/>
  <c r="T235" i="93"/>
  <c r="T315" i="93"/>
  <c r="T319" i="93" s="1"/>
  <c r="S314" i="93"/>
  <c r="S171" i="93"/>
  <c r="T170" i="93"/>
  <c r="T314" i="93" l="1"/>
  <c r="T171" i="93"/>
  <c r="U170" i="93"/>
  <c r="U315" i="93"/>
  <c r="U319" i="93" s="1"/>
  <c r="V234" i="93"/>
  <c r="W234" i="93" s="1"/>
  <c r="U235" i="93"/>
  <c r="S320" i="93"/>
  <c r="S317" i="93"/>
  <c r="U266" i="93"/>
  <c r="T267" i="93"/>
  <c r="T316" i="93"/>
  <c r="X234" i="93" l="1"/>
  <c r="W235" i="93"/>
  <c r="W315" i="93"/>
  <c r="W319" i="93" s="1"/>
  <c r="T320" i="93"/>
  <c r="T317" i="93"/>
  <c r="V266" i="93"/>
  <c r="W266" i="93" s="1"/>
  <c r="U316" i="93"/>
  <c r="U267" i="93"/>
  <c r="V235" i="93"/>
  <c r="V315" i="93"/>
  <c r="V319" i="93" s="1"/>
  <c r="V170" i="93"/>
  <c r="W170" i="93" s="1"/>
  <c r="U314" i="93"/>
  <c r="U171" i="93"/>
  <c r="W314" i="93" l="1"/>
  <c r="W171" i="93"/>
  <c r="X170" i="93"/>
  <c r="W316" i="93"/>
  <c r="W267" i="93"/>
  <c r="X266" i="93"/>
  <c r="Y234" i="93"/>
  <c r="X235" i="93"/>
  <c r="X315" i="93"/>
  <c r="X319" i="93" s="1"/>
  <c r="V171" i="93"/>
  <c r="V314" i="93"/>
  <c r="V267" i="93"/>
  <c r="V316" i="93"/>
  <c r="U320" i="93"/>
  <c r="U317" i="93"/>
  <c r="Z234" i="93" l="1"/>
  <c r="Y235" i="93"/>
  <c r="Y315" i="93"/>
  <c r="Y319" i="93" s="1"/>
  <c r="X267" i="93"/>
  <c r="Y266" i="93"/>
  <c r="X316" i="93"/>
  <c r="W320" i="93"/>
  <c r="W317" i="93"/>
  <c r="X314" i="93"/>
  <c r="Y170" i="93"/>
  <c r="X171" i="93"/>
  <c r="V317" i="93"/>
  <c r="V320" i="93"/>
  <c r="Y314" i="93" l="1"/>
  <c r="Y171" i="93"/>
  <c r="Z170" i="93"/>
  <c r="X320" i="93"/>
  <c r="X317" i="93"/>
  <c r="Y316" i="93"/>
  <c r="Y267" i="93"/>
  <c r="Z266" i="93"/>
  <c r="AA234" i="93"/>
  <c r="Z235" i="93"/>
  <c r="Z315" i="93"/>
  <c r="Z319" i="93" s="1"/>
  <c r="Z267" i="93" l="1"/>
  <c r="Z316" i="93"/>
  <c r="AA266" i="93"/>
  <c r="Y320" i="93"/>
  <c r="Y317" i="93"/>
  <c r="AB234" i="93"/>
  <c r="AA315" i="93"/>
  <c r="AA319" i="93" s="1"/>
  <c r="AA235" i="93"/>
  <c r="Z314" i="93"/>
  <c r="Z171" i="93"/>
  <c r="AA170" i="93"/>
  <c r="AB170" i="93" l="1"/>
  <c r="AA314" i="93"/>
  <c r="AA171" i="93"/>
  <c r="AB235" i="93"/>
  <c r="AB315" i="93"/>
  <c r="AB319" i="93" s="1"/>
  <c r="AC234" i="93"/>
  <c r="AB266" i="93"/>
  <c r="AA267" i="93"/>
  <c r="AA316" i="93"/>
  <c r="Z320" i="93"/>
  <c r="Z317" i="93"/>
  <c r="AA317" i="93" l="1"/>
  <c r="AA320" i="93"/>
  <c r="AC266" i="93"/>
  <c r="AB267" i="93"/>
  <c r="AB316" i="93"/>
  <c r="AC235" i="93"/>
  <c r="AD234" i="93"/>
  <c r="AC315" i="93"/>
  <c r="AC319" i="93" s="1"/>
  <c r="AB171" i="93"/>
  <c r="AB314" i="93"/>
  <c r="AC170" i="93"/>
  <c r="AD170" i="93" l="1"/>
  <c r="AC171" i="93"/>
  <c r="AC314" i="93"/>
  <c r="AE234" i="93"/>
  <c r="AD315" i="93"/>
  <c r="AD319" i="93" s="1"/>
  <c r="AD235" i="93"/>
  <c r="AB317" i="93"/>
  <c r="AB320" i="93"/>
  <c r="AD266" i="93"/>
  <c r="AC267" i="93"/>
  <c r="AC316" i="93"/>
  <c r="AC320" i="93" l="1"/>
  <c r="AC317" i="93"/>
  <c r="AE266" i="93"/>
  <c r="AD267" i="93"/>
  <c r="AD316" i="93"/>
  <c r="AE315" i="93"/>
  <c r="AE319" i="93" s="1"/>
  <c r="AF234" i="93"/>
  <c r="AE235" i="93"/>
  <c r="AE170" i="93"/>
  <c r="AD171" i="93"/>
  <c r="AD314" i="93"/>
  <c r="AE314" i="93" l="1"/>
  <c r="AE171" i="93"/>
  <c r="AF170" i="93"/>
  <c r="AF235" i="93"/>
  <c r="AF315" i="93"/>
  <c r="AF319" i="93" s="1"/>
  <c r="AG234" i="93"/>
  <c r="AD317" i="93"/>
  <c r="AD320" i="93"/>
  <c r="AF266" i="93"/>
  <c r="AE267" i="93"/>
  <c r="AE316" i="93"/>
  <c r="AE320" i="93" l="1"/>
  <c r="AE317" i="93"/>
  <c r="AG266" i="93"/>
  <c r="AF267" i="93"/>
  <c r="AF316" i="93"/>
  <c r="AH234" i="93"/>
  <c r="AG235" i="93"/>
  <c r="AG315" i="93"/>
  <c r="AG319" i="93" s="1"/>
  <c r="AF314" i="93"/>
  <c r="AG170" i="93"/>
  <c r="AF171" i="93"/>
  <c r="AG171" i="93" l="1"/>
  <c r="AH170" i="93"/>
  <c r="AG314" i="93"/>
  <c r="AI234" i="93"/>
  <c r="AH235" i="93"/>
  <c r="AH315" i="93"/>
  <c r="AH319" i="93" s="1"/>
  <c r="AF320" i="93"/>
  <c r="AF317" i="93"/>
  <c r="AH266" i="93"/>
  <c r="AG316" i="93"/>
  <c r="AG267" i="93"/>
  <c r="AG317" i="93" l="1"/>
  <c r="AG320" i="93"/>
  <c r="AH316" i="93"/>
  <c r="AH267" i="93"/>
  <c r="AI266" i="93"/>
  <c r="AI315" i="93"/>
  <c r="AI319" i="93" s="1"/>
  <c r="AI235" i="93"/>
  <c r="AJ234" i="93"/>
  <c r="AH314" i="93"/>
  <c r="AH171" i="93"/>
  <c r="AI170" i="93"/>
  <c r="AI314" i="93" l="1"/>
  <c r="AJ170" i="93"/>
  <c r="AI171" i="93"/>
  <c r="AJ235" i="93"/>
  <c r="AK234" i="93"/>
  <c r="AJ315" i="93"/>
  <c r="AJ319" i="93" s="1"/>
  <c r="AI267" i="93"/>
  <c r="AJ266" i="93"/>
  <c r="AI316" i="93"/>
  <c r="AH317" i="93"/>
  <c r="AH320" i="93"/>
  <c r="AI320" i="93" l="1"/>
  <c r="AI317" i="93"/>
  <c r="AJ267" i="93"/>
  <c r="AK266" i="93"/>
  <c r="AJ316" i="93"/>
  <c r="AK315" i="93"/>
  <c r="AK319" i="93" s="1"/>
  <c r="AK235" i="93"/>
  <c r="AK170" i="93"/>
  <c r="AJ171" i="93"/>
  <c r="AJ314" i="93"/>
  <c r="B272" i="93" l="1"/>
  <c r="B106" i="92" s="1"/>
  <c r="AK314" i="93"/>
  <c r="AK171" i="93"/>
  <c r="B179" i="93" s="1"/>
  <c r="AJ317" i="93"/>
  <c r="AJ320" i="93"/>
  <c r="AK267" i="93"/>
  <c r="B279" i="93" s="1"/>
  <c r="D106" i="92" s="1"/>
  <c r="AK316" i="93"/>
  <c r="D59" i="92" l="1"/>
  <c r="AK320" i="93"/>
  <c r="AK317"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tc={C7F4B2D0-C599-4845-9761-FC00394E4293}</author>
  </authors>
  <commentList>
    <comment ref="E39" authorId="0" shapeId="0" xr:uid="{C7F4B2D0-C599-4845-9761-FC00394E4293}">
      <text>
        <t>[Opmerkingenthread]
U kunt deze opmerkingenthread lezen in uw versie van Excel. Eventuele wijzigingen aan de thread gaan echter verloren als het bestand wordt geopend in een nieuwere versie van Excel. Meer informatie: https://go.microsoft.com/fwlink/?linkid=870924
Opmerking:
    https://www.pbl.nl/system/files/document/2025-02/pbl-2025-eindadvies-sde-plus-plus-2025-5472.pdf</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tc={90AC2B2B-A47E-4965-8297-EAD255595550}</author>
    <author>tc={BE9B89AA-A12E-48FA-BB4D-280DA55B811C}</author>
  </authors>
  <commentList>
    <comment ref="C28" authorId="0" shapeId="0" xr:uid="{90AC2B2B-A47E-4965-8297-EAD255595550}">
      <text>
        <t>[Opmerkingenthread]
U kunt deze opmerkingenthread lezen in uw versie van Excel. Eventuele wijzigingen aan de thread gaan echter verloren als het bestand wordt geopend in een nieuwere versie van Excel. Meer informatie: https://go.microsoft.com/fwlink/?linkid=870924
Opmerking:
    Te checken of dit met of zonder BTW is</t>
      </text>
    </comment>
    <comment ref="C31" authorId="1" shapeId="0" xr:uid="{BE9B89AA-A12E-48FA-BB4D-280DA55B811C}">
      <text>
        <t>[Opmerkingenthread]
U kunt deze opmerkingenthread lezen in uw versie van Excel. Eventuele wijzigingen aan de thread gaan echter verloren als het bestand wordt geopend in een nieuwere versie van Excel. Meer informatie: https://go.microsoft.com/fwlink/?linkid=870924
Opmerking:
    Distributietarieven elektriciteit 2026 met 6% BTW</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<sst xmlns="http://schemas.openxmlformats.org/spreadsheetml/2006/main" count="1793" uniqueCount="317">
  <si>
    <t>Rekenmodel Vergroening warmtedragers</t>
  </si>
  <si>
    <t>Doel van het rekenmodel</t>
  </si>
  <si>
    <t>Dit rekenmodel werd ontwikkeld om richting te geven bij de rendabiliteitsbeoordeling van business cases voor de vergroening van de warmtevraag. Referentie- en achtergrondparameters werden op een onderbouwde manier samengesteld, maar de business case resultaten dienen als louter indicatief te worden beschouwd, gezien het een generieke tool betreft die niet op maat van enige onrganisatie werd ontwikkeld. 
De template is gebaseerd op de "Simulatietool Steun" of "Rekenblad_simulatie_steun_versie website 2025-02-10.xlsx": ontwikkeld door VLAIO in samenwerking met VITO voor de pilootoproep transitiecontract klimaatsprong (TRACKS) 2024. Beschikbaar op https://www.vlaio.be/nl/subsidies-financiering/transitiecontracten-klimaatsprong/hoe-wordt-het-steunbedrag-berekend.</t>
  </si>
  <si>
    <t>Bescherming rekenbladen wijzigingen</t>
  </si>
  <si>
    <t>De rekenbladen zijn beschermd met een wachtwoord om te vermijden dat per ongeluk formules/getallen aangepast worden die vastliggen 
en waar de gebruiker geen invloed op heeft. De cellen waar de gegevens/assumpties van de gebruiker relevant zijn, zijnde de inputcellen van het gebruikerdashboard, kunnen wel gewijzigd worden.</t>
  </si>
  <si>
    <r>
      <t xml:space="preserve">Het </t>
    </r>
    <r>
      <rPr>
        <u/>
        <sz val="12"/>
        <color theme="5"/>
        <rFont val="Calibri"/>
        <family val="2"/>
        <scheme val="minor"/>
      </rPr>
      <t>wachtwoord</t>
    </r>
    <r>
      <rPr>
        <sz val="12"/>
        <color theme="5"/>
        <rFont val="Calibri"/>
        <family val="2"/>
        <scheme val="minor"/>
      </rPr>
      <t xml:space="preserve"> om de bescherming op te heffen is: </t>
    </r>
    <r>
      <rPr>
        <u/>
        <sz val="12"/>
        <color theme="5"/>
        <rFont val="Calibri"/>
        <family val="2"/>
        <scheme val="minor"/>
      </rPr>
      <t>"warmtevraag"</t>
    </r>
  </si>
  <si>
    <t>Rekenmodel ontwikkelaars</t>
  </si>
  <si>
    <t>De template is ontwikkeld in samenwerking tussen VITO en VLAIO.</t>
  </si>
  <si>
    <t>Contactinformatie</t>
  </si>
  <si>
    <t xml:space="preserve">Voor vragen gelinkt aan het rekenmodel, gelieve het volgende mailadres te gebruiken: pieter.vingerhoets@vito.be </t>
  </si>
  <si>
    <t>Versie</t>
  </si>
  <si>
    <t>GEBRUIKERSDASHBOARD</t>
  </si>
  <si>
    <t>Inputwaarden in te vullen door de gebruikers</t>
  </si>
  <si>
    <t>Financiële parameters onderneming</t>
  </si>
  <si>
    <t>Zie tab 'Referentieparameters' voor gangbare inputwaarden</t>
  </si>
  <si>
    <t>\\\\\\\\\\\\\\\\\\\\\\\\\\\\\\\\\\\\\\\\\\\\\\\\\\\\\\\\\\\\\\\\\\\\\\\\\\\\\\\\\\\\\\\\\\\\\\\\\\\\\\\\\\\\\\\\\\\\\\\\\\\\\\\\\\\\\\\\\\\\\\\\\\\\\\\\\\\\\\\\\\\\\\\\\\\\\\\\\\\\\\\\\\\\\\\\\\\\\\\\\\\\\\\\\\\\\\\\\\\\\\\\\\\\\\\\\\\\\\\\\\\\\\\\\\\\\\\\\\\\\\\\\\\\\\\\\\\\\\\\\\\\\\\\\\\\\\\\\\\\\\\\\\\\\\\\\\\\\\\\\\\\\\\\\\\\\\\\\\\\\\\\\\\\\\\\\\\\\\\\\\\\\\\\\\\\\\\\\\\\\\\\\\\\\\\\\\\\\\\\\\\\\\\\\\\\\\\\\\\\\\\\\\\\\\\\\\\\\\\\\\\\\\\\\\\\\\\\\\\\\\\\\\\\\\\\\\\\\\\\\\\\\\\\\\\\\\\\\\\\\\\\\\\\\\\\\\\\\\\\\\\\\\\\\\\\\\\\\\\\\\\\\\\\\\\\\\\\\\\\\\\\\\\\\\\\\\\\\\\\\\\\\\\\\\\\\\\\\\\\\\\\\\\\\\\\\\\\\\\\\\\\\\\\\\\\\\\\\\\\\\\\\\\\\\\\\\\\\\\\\\\\\\\\\\\\\\\\\\\\\\\\\\\\\\\\\\\\\\\\\\\\\\\\\\\\\\\\\\\\\\\\\\\\\\\\\\\\\\\\\\\\\\\\\\\\\\\\\\\\\\\\\\\\\\\\\\\\\\\\\\\\\\\\\\\\\\\\\\\\\\\\\\\\\\\\\\\\\\\\\\\\\\\\\\\\\\\\\\\\\\\\\\\\\\\\\\\\\\\\\\\\\\\\\\\\\\\\\\\\\\\\\\\\\\\\\\\\\\\\\\\\\\\\\\\\\\\\\\\\\\\\\\\\\\\\\\\\\\\\\\\\\\\\\\\\\\\\\\\\\\\\\\\\\\\\\\\\\\\\\\\\\\\\\\\\\\\\\\\\\\\\\\\\\\\\\\\\\\\\\\\\\\\\\\\\\\\\\\\\\\\\\\\\\\\\\\\\\\\\\\\\\\\\\\\\\\\\\\\\\\\\\\\\\\\\\\\\\\\\\\\\\\\\\\\\\\\\\\\\\\\\\\\\\\\\\\\\\\\\\\\\\\\\\\\\\\\\\</t>
  </si>
  <si>
    <t xml:space="preserve"> </t>
  </si>
  <si>
    <t>Toelichting</t>
  </si>
  <si>
    <t>Rendement op vreemd vermogen onderneming</t>
  </si>
  <si>
    <t xml:space="preserve">Kosten op vreemd vermogen. Het vreemd vermogen omvat de schulden van de onderneming, welke kunnen bestaan uit leningen, obligaties of andere vormen van schuldfinanciering. </t>
  </si>
  <si>
    <t>Rendement op eigen vermogen onderneming</t>
  </si>
  <si>
    <t>Kosten op eigen vermogen, bv. het rendement vereist door aandeelhouders. Eigen vermogen vertegenwoordigt de middelen die de aandeelhouders in het bedrijf hebben geïnvesteerd. dit omvat zowel het oorspronkelijke kapitaal dat door de oprichters is ingebracht als de winsten die in het bedrijf zijn gebleven.</t>
  </si>
  <si>
    <t>Aandeel vreemd vermogen onderneming</t>
  </si>
  <si>
    <t>De gewichten van eigen en vreemd vermogen worden bepaald door hun respectieve proporties in de totale kapitaalstructuur van het bedrijf. Dit wordt berekend door de marktwaarde van elk type vermogen te delen door de totale marktwaarde van het bedrijf.</t>
  </si>
  <si>
    <t>Aandeel eigen vermogen onderneming</t>
  </si>
  <si>
    <t>Vennootschapsbelasting</t>
  </si>
  <si>
    <t>WACC onderneming</t>
  </si>
  <si>
    <t>WACC = (E/V x Re) + ((D/V x Rd) x (1 – T))</t>
  </si>
  <si>
    <t>E/V = aandeel eigen vermogen</t>
  </si>
  <si>
    <t>Re = rendement op eigen vermogen</t>
  </si>
  <si>
    <t>Rd = rendement op vreemd vermogen</t>
  </si>
  <si>
    <t>T = vennootschapsbelasting</t>
  </si>
  <si>
    <t>Projectspecifieke inputparameters</t>
  </si>
  <si>
    <t>Technologie</t>
  </si>
  <si>
    <t>Warmtepomp</t>
  </si>
  <si>
    <t>Toegepaste technologie om aan warmtevraag te voldoen, met 'vollasturen' als indicatie voor het aantal uur per jaar dat de installatie op vol vermogen dient te draaien</t>
  </si>
  <si>
    <t>Warmteopslag</t>
  </si>
  <si>
    <t>Nee</t>
  </si>
  <si>
    <t>Thermische opslag aan hoge temperatuur</t>
  </si>
  <si>
    <t>Verbruiksprofiel</t>
  </si>
  <si>
    <t>BASELOAD DAY</t>
  </si>
  <si>
    <t xml:space="preserve">Mogelijk(e) profiel(en) voor elektriciteitsverbruik, gelieve de tab 'Manuele input' aan te vullen bij het selecteren van het profiel 'MANUAL' </t>
  </si>
  <si>
    <t xml:space="preserve">BASELOAD: ~8000vollasturen, </t>
  </si>
  <si>
    <t>Inputvermogen</t>
  </si>
  <si>
    <r>
      <t>kW</t>
    </r>
    <r>
      <rPr>
        <vertAlign val="subscript"/>
        <sz val="12"/>
        <color theme="1"/>
        <rFont val="Calibri"/>
        <family val="2"/>
        <scheme val="minor"/>
      </rPr>
      <t>e</t>
    </r>
  </si>
  <si>
    <t>Input in kilowatt elektrisch</t>
  </si>
  <si>
    <t>Coefficient of performance kWth/kWe</t>
  </si>
  <si>
    <t>Economische levensduur installatie</t>
  </si>
  <si>
    <t>jaar</t>
  </si>
  <si>
    <t>Afschrijfperiode</t>
  </si>
  <si>
    <t>KOSTEN</t>
  </si>
  <si>
    <t>INVESTERINGEN</t>
  </si>
  <si>
    <r>
      <t>€/kW</t>
    </r>
    <r>
      <rPr>
        <vertAlign val="subscript"/>
        <sz val="12"/>
        <color theme="1"/>
        <rFont val="Calibri"/>
        <family val="2"/>
        <scheme val="minor"/>
      </rPr>
      <t>th,output</t>
    </r>
  </si>
  <si>
    <t xml:space="preserve">Dit cijfer komt uit de SDE++ studie van PBL, het is inclusief installatiekosten. </t>
  </si>
  <si>
    <t>Installatiekost</t>
  </si>
  <si>
    <t>€</t>
  </si>
  <si>
    <t>Indien je wenst kan je installatiekost apart specifiëren.</t>
  </si>
  <si>
    <t>Jaarlijkse vaste kosten</t>
  </si>
  <si>
    <t>Toepasselijke nettarieven</t>
  </si>
  <si>
    <t>VERMEDEN KOSTEN/OPBRENGSTEN</t>
  </si>
  <si>
    <t>SUBSIDIES EN STEUN</t>
  </si>
  <si>
    <t>Subsidie voor compensatie indirecte emissiekosten</t>
  </si>
  <si>
    <r>
      <t>€/kWh</t>
    </r>
    <r>
      <rPr>
        <vertAlign val="subscript"/>
        <sz val="12"/>
        <color theme="1"/>
        <rFont val="Calibri"/>
        <family val="2"/>
        <scheme val="minor"/>
      </rPr>
      <t>e</t>
    </r>
  </si>
  <si>
    <t>Overige steun (bv. TRACKS)</t>
  </si>
  <si>
    <t>€/jaar</t>
  </si>
  <si>
    <t>Fiscale voordelen</t>
  </si>
  <si>
    <t>Resultaten</t>
  </si>
  <si>
    <t>Netto Actuele Waarde</t>
  </si>
  <si>
    <t>Terugverdientijd</t>
  </si>
  <si>
    <t xml:space="preserve">De Netto Actuele Waarde van het project geeft het verschil weer tussen de contante waarde van toekomstige kasstromen en de initiële investering. Er wordt rekening gehouden met de tijdwaarde van geld en kapitaalkosten. </t>
  </si>
  <si>
    <t xml:space="preserve">De terugverdientijd van de investering wordt uitgedrukt in jaren. Er wordt geen rekening gehouden met de tijdwaarde van geld. </t>
  </si>
  <si>
    <t>Internal Rate of Return</t>
  </si>
  <si>
    <t>Return on Investment</t>
  </si>
  <si>
    <t xml:space="preserve">De Internal Rate of Return is het verdisconteringspercentage waarbij de Netto Actuele Waarde van een investering gelijk is aan nul. Een investering kan als rendabel worden beschouwd als de IRR hoger is dan het vereiste rendement of de kapitaalkosten. </t>
  </si>
  <si>
    <t xml:space="preserve">De Return on Investment is een maatstaf die de winstgevendheid van een investering aangeeft als een percentage van de investeringskosten. Het wordt berekend door de nettowinst te delen door de kosten van de investering en geeft aan hoe efficiënt de investering is in het genereren van winst. Een positieve ROI betekent winst, terwijl een negatieve ROI verlies betekent. </t>
  </si>
  <si>
    <t>Gevoeligheidsanalyse</t>
  </si>
  <si>
    <t>SCENARIO: Gas gunstig</t>
  </si>
  <si>
    <t>SCENARIO: Elektrisch gunstig</t>
  </si>
  <si>
    <t>Manuele input</t>
  </si>
  <si>
    <t>Onderstaande input wordt enkel meegenomen indien in het dashboard het verbruiksprofiel 'MANUAL' wordt geselecteerd</t>
  </si>
  <si>
    <t xml:space="preserve">Realistisch </t>
  </si>
  <si>
    <t>Eenheid</t>
  </si>
  <si>
    <t>Gasprijs</t>
  </si>
  <si>
    <t>uur/jaar</t>
  </si>
  <si>
    <t>ETS1/2-prijs</t>
  </si>
  <si>
    <t>€/ton</t>
  </si>
  <si>
    <t>Elektriciteitsprijs</t>
  </si>
  <si>
    <t>Draaiuren</t>
  </si>
  <si>
    <t>uren/jaar</t>
  </si>
  <si>
    <t>Gas gunstig</t>
  </si>
  <si>
    <r>
      <t>€/kWh</t>
    </r>
    <r>
      <rPr>
        <vertAlign val="subscript"/>
        <sz val="12"/>
        <color theme="1"/>
        <rFont val="Calibri"/>
        <family val="2"/>
        <scheme val="minor"/>
      </rPr>
      <t>bvw</t>
    </r>
  </si>
  <si>
    <t>Elektrisch gunstig</t>
  </si>
  <si>
    <t>Referentieparameters</t>
  </si>
  <si>
    <t>Financiële parameters</t>
  </si>
  <si>
    <t>Inflatie</t>
  </si>
  <si>
    <t>Streefdoel inflatie ECB op lange termijn</t>
  </si>
  <si>
    <t>Vereist rendement op vreemd vermogen voor investeringen met een hoger risicoprofiel, bv. elektrische boiler en industriële warmtepomp (Eindadvies SDE++ 2025)</t>
  </si>
  <si>
    <t>Vereist rendement op eigen vermogen voor investeringen met een hoger risicoprofiel, bv. elektrische boiler en industriële warmtepomp (Eindadvies SDE++ 2025)</t>
  </si>
  <si>
    <t>Sectorgemiddelde voor investeringen en energie-efficiëntie (PBL)</t>
  </si>
  <si>
    <t>\\\\\\\\\\\\\\\\\\\\\\\\\\\\\\\\\\\\\\\\\\\\\\\\\\\\\\\\\\\\\\\\\\\\\\\\\\\\\\\\\\\\\\\\\\\\\\\\\\\\\\\\\\\\\\\\\\\\\\\\\\\\\\\\\\\\\\\\\\\\\\\\\\\\\\\\\\\\\\\\\\\\\\\\\\\\\\\\\\\\\\\\\\\\\\\\\\\\\\\\\\\\\\\\\\\\\\\\\\\\\\\\\\\\\\\\\\\\\\\\\\\\\\\\\\\\\\\\\\\\\\\\\\\\\\\\\\\\\\\\\\\\\\\\\\\\\\\\\\\\\\\\\\\\\\\\\\\\\\\\\\\\\\\\\\\\\\\\\\\\\\\\\\\\\\\\\\\\\\\\\\\\\\\\\\\\\\\\\\\\\\\\\\\\\\\\\\\\\\\\\\\\\\\\\\\\\\\\\\\\\\\\\\\\\\\\\\\\\\\\\\\\\\\\\\\\\\\\\\\\\\\\\\\\\\\\\\\\\\\\\\\\\\\\\\\\\\\\\\\\\\\\\\\\\\\\\\\\\\\\\\\\\\\\\\\\\\\\\\\\\\\\\\\\\\\\\\\\\\\\\\\\\\\\\\\\\\\\\\\\\\\\\\\\\\\\\\\\\\\\\\\\\\\\\\\\\\\\\\\\\\\\\\\\\\\\\\\\\\\\\\\\\\\\\\\\\\\\\\\\\\\\\\\\\\\\\\\\\\\\\\\\\\\\\\\\\\\\\\\\\\\\\\\\\\\\\\\\\\\\\\\\\\\\\\\\\\\\\\\\\\\\\\\\\\\\\\\\\\\\\\\\\\\\\\\\\\\\\\\\\\\\\\\\\\\\\\\\\\\\\\\\\\\\\\\\\\\\\\\\\\\\\\\\\\\\\\\\\\\\\\\\\\\\\\\\\\\\\\\\\\\\\\\\\\\\\\\\\\\\\\\\\\\\\\\\\\\\\\\\\\\\\\\\\\\\\\\\\\\\\\\\\\\\\\\\\\\\\\\\\\\\\\\\\\</t>
  </si>
  <si>
    <t>Technologie-afhankelijke parameters</t>
  </si>
  <si>
    <t>ID</t>
  </si>
  <si>
    <t>Correctiefactor netkost</t>
  </si>
  <si>
    <t>Maximum aantal vollasturen</t>
  </si>
  <si>
    <t>Economische levensduur</t>
  </si>
  <si>
    <t>Investeringskost</t>
  </si>
  <si>
    <t xml:space="preserve">Maximum thermisch rendement </t>
  </si>
  <si>
    <t>Minimum COP</t>
  </si>
  <si>
    <t>Maximum COP</t>
  </si>
  <si>
    <t>%</t>
  </si>
  <si>
    <t>uur</t>
  </si>
  <si>
    <r>
      <t>€/kW</t>
    </r>
    <r>
      <rPr>
        <vertAlign val="subscript"/>
        <sz val="12"/>
        <rFont val="Calibri"/>
        <family val="2"/>
        <scheme val="minor"/>
      </rPr>
      <t>th,outputvermogen</t>
    </r>
  </si>
  <si>
    <t>Opslagkost</t>
  </si>
  <si>
    <t>Warmte-hoeveelheid</t>
  </si>
  <si>
    <t>kW</t>
  </si>
  <si>
    <t>€/kWh</t>
  </si>
  <si>
    <t>J</t>
  </si>
  <si>
    <t>Thermische opslag op hoge temperatuur</t>
  </si>
  <si>
    <t>Achtergrondparameters</t>
  </si>
  <si>
    <t>Technische parameters gas</t>
  </si>
  <si>
    <t>\\\\\\\\\\\\\\\\\\\\\\\\\\\\\\\\\\\\\\\\\\\\\\\\\\\\\\\\\\\\\\\\\\\\\\\\\\\\\\\\\\\\\\\\\\\\\\\\\\\\\\\\\\\\\\\\\\\\\\\\\\\\\\\\\\\\\\\\\\\\\\\\\\\\\\\\\\\\\\\\\\\\\\\\\\\\\\\\\\\\\\\\\\\\\\\\\\\\\\\\\\\\\\\\\\\\\\\\\\\\\\\\\\\\\\\\\\\\\\\\\\\\\\\\\\\\\\\\\\\\\\\\\\\\\\\\\\\\\\\\\\\\\\\\\\\\\\\\\\\\\\\\\\\\\\\\\\\\\\\\\\\\\\\\\\\\\\\\\\\\\\\\</t>
  </si>
  <si>
    <t>Omschrijving</t>
  </si>
  <si>
    <t>Waarde</t>
  </si>
  <si>
    <t>Emissiefactor aardgas</t>
  </si>
  <si>
    <r>
      <t>kg CO</t>
    </r>
    <r>
      <rPr>
        <vertAlign val="subscript"/>
        <sz val="12"/>
        <rFont val="Calibri"/>
        <family val="2"/>
        <scheme val="minor"/>
      </rPr>
      <t>2</t>
    </r>
    <r>
      <rPr>
        <sz val="12"/>
        <rFont val="Calibri"/>
        <family val="2"/>
        <scheme val="minor"/>
      </rPr>
      <t>/GJ</t>
    </r>
    <r>
      <rPr>
        <vertAlign val="subscript"/>
        <sz val="12"/>
        <rFont val="Calibri"/>
        <family val="2"/>
        <scheme val="minor"/>
      </rPr>
      <t>OVW</t>
    </r>
  </si>
  <si>
    <r>
      <t>kg CO</t>
    </r>
    <r>
      <rPr>
        <vertAlign val="subscript"/>
        <sz val="12"/>
        <rFont val="Calibri"/>
        <family val="2"/>
        <scheme val="minor"/>
      </rPr>
      <t>2</t>
    </r>
    <r>
      <rPr>
        <sz val="12"/>
        <rFont val="Calibri"/>
        <family val="2"/>
        <scheme val="minor"/>
      </rPr>
      <t>/kWh</t>
    </r>
    <r>
      <rPr>
        <vertAlign val="subscript"/>
        <sz val="12"/>
        <rFont val="Calibri"/>
        <family val="2"/>
        <scheme val="minor"/>
      </rPr>
      <t>OVW</t>
    </r>
  </si>
  <si>
    <r>
      <t>Standaard CO</t>
    </r>
    <r>
      <rPr>
        <i/>
        <vertAlign val="subscript"/>
        <sz val="12"/>
        <rFont val="Calibri"/>
        <family val="2"/>
        <scheme val="minor"/>
      </rPr>
      <t>2</t>
    </r>
    <r>
      <rPr>
        <i/>
        <sz val="12"/>
        <rFont val="Calibri"/>
        <family val="2"/>
        <scheme val="minor"/>
      </rPr>
      <t>-emissiefactor voor aardgas gepubliceerd door VEKA-VMM (2024), omzetfactor GJ naar kWh x0,0036</t>
    </r>
  </si>
  <si>
    <t>Referentierendement gasstoomketel (OVW)</t>
  </si>
  <si>
    <t>Ketelrendement t.o.v. de onderste verbrandingswaarde van aardgas</t>
  </si>
  <si>
    <t>Emissiefactor warmteproductie (gasstoomketel)</t>
  </si>
  <si>
    <r>
      <t>kg CO</t>
    </r>
    <r>
      <rPr>
        <vertAlign val="subscript"/>
        <sz val="12"/>
        <rFont val="Calibri"/>
        <family val="2"/>
        <scheme val="minor"/>
      </rPr>
      <t>2</t>
    </r>
    <r>
      <rPr>
        <sz val="12"/>
        <rFont val="Calibri"/>
        <family val="2"/>
        <scheme val="minor"/>
      </rPr>
      <t>/kWh</t>
    </r>
    <r>
      <rPr>
        <vertAlign val="subscript"/>
        <sz val="12"/>
        <rFont val="Calibri"/>
        <family val="2"/>
        <scheme val="minor"/>
      </rPr>
      <t>th</t>
    </r>
  </si>
  <si>
    <r>
      <t>CO</t>
    </r>
    <r>
      <rPr>
        <i/>
        <vertAlign val="subscript"/>
        <sz val="12"/>
        <rFont val="Calibri"/>
        <family val="2"/>
        <scheme val="minor"/>
      </rPr>
      <t>2</t>
    </r>
    <r>
      <rPr>
        <i/>
        <sz val="12"/>
        <rFont val="Calibri"/>
        <family val="2"/>
        <scheme val="minor"/>
      </rPr>
      <t xml:space="preserve">-emissiefactor voor warmteproductie op basis van een gasketel met rendement 90% </t>
    </r>
  </si>
  <si>
    <t>Kostenparameters elektriciteit - gas - ETS</t>
  </si>
  <si>
    <t xml:space="preserve">Geselecteerd gebruiksprofiel: </t>
  </si>
  <si>
    <t>Prefill waarden</t>
  </si>
  <si>
    <t>Kostenpost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</si>
  <si>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</si>
  <si>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</si>
  <si>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</si>
  <si>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</si>
  <si>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</si>
  <si>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</si>
  <si>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</si>
  <si>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</si>
  <si>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</si>
  <si>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</si>
  <si>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</si>
  <si>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</si>
  <si>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</si>
  <si>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</si>
  <si>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</si>
  <si>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</si>
  <si>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</si>
  <si>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</si>
  <si>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</si>
  <si>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</si>
  <si>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</si>
  <si>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</si>
  <si>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</si>
  <si>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</si>
  <si>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</si>
  <si>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</si>
  <si>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</si>
  <si>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</si>
  <si>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</si>
  <si>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</si>
  <si>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Gasprijs taksen en netkosten</t>
  </si>
  <si>
    <r>
      <t>€/kWh</t>
    </r>
    <r>
      <rPr>
        <vertAlign val="subscript"/>
        <sz val="12"/>
        <color rgb="FF000000"/>
        <rFont val="Calibri"/>
        <family val="2"/>
        <scheme val="minor"/>
      </rPr>
      <t>th</t>
    </r>
  </si>
  <si>
    <t>Elektriciteitsprijs (jaargemiddelde)</t>
  </si>
  <si>
    <t xml:space="preserve">Netkosten </t>
  </si>
  <si>
    <r>
      <t>€/kW</t>
    </r>
    <r>
      <rPr>
        <vertAlign val="subscript"/>
        <sz val="12"/>
        <color theme="1"/>
        <rFont val="Calibri"/>
        <family val="2"/>
        <scheme val="minor"/>
      </rPr>
      <t>e</t>
    </r>
    <r>
      <rPr>
        <sz val="12"/>
        <color theme="1"/>
        <rFont val="Calibri"/>
        <family val="2"/>
        <scheme val="minor"/>
      </rPr>
      <t>/jaar</t>
    </r>
  </si>
  <si>
    <t>Netkosten op verbruik en heffingen elektriciteit</t>
  </si>
  <si>
    <r>
      <t>€/kWh</t>
    </r>
    <r>
      <rPr>
        <vertAlign val="subscript"/>
        <sz val="12"/>
        <rFont val="Calibri"/>
        <family val="2"/>
        <scheme val="minor"/>
      </rPr>
      <t>e</t>
    </r>
  </si>
  <si>
    <t>Europese terugvorderingsvoet België</t>
  </si>
  <si>
    <t xml:space="preserve">Gasprijs </t>
  </si>
  <si>
    <t xml:space="preserve">Elektriciteitsprijs (jaargemiddelde) </t>
  </si>
  <si>
    <t>Netkosten</t>
  </si>
  <si>
    <t>Verbruiksprofielen</t>
  </si>
  <si>
    <t>ETS2-prijs</t>
  </si>
  <si>
    <t>Berekening Business Case</t>
  </si>
  <si>
    <t>Inputwaarden gebruiker - UIT DASHBOARD</t>
  </si>
  <si>
    <t>Berekende of gekoppelde waardes.</t>
  </si>
  <si>
    <t>Technologie ID</t>
  </si>
  <si>
    <t>Inputparameters</t>
  </si>
  <si>
    <t>Parameters (uren, kosten, opbrengsten, etc.) per jaar</t>
  </si>
  <si>
    <t>Jaar</t>
  </si>
  <si>
    <t>INSTALLATIE</t>
  </si>
  <si>
    <t xml:space="preserve">Waarde </t>
  </si>
  <si>
    <t>Outputvermogen</t>
  </si>
  <si>
    <r>
      <t>kW</t>
    </r>
    <r>
      <rPr>
        <vertAlign val="subscript"/>
        <sz val="12"/>
        <color theme="1"/>
        <rFont val="Calibri"/>
        <family val="2"/>
        <scheme val="minor"/>
      </rPr>
      <t>th</t>
    </r>
  </si>
  <si>
    <t xml:space="preserve">Vollasturen </t>
  </si>
  <si>
    <t>Draaiuren - gas gunstig</t>
  </si>
  <si>
    <t>Draaiuren - elek gunstig</t>
  </si>
  <si>
    <t>Elektriciteitsverbruik</t>
  </si>
  <si>
    <r>
      <t>kWh</t>
    </r>
    <r>
      <rPr>
        <vertAlign val="subscript"/>
        <sz val="12"/>
        <color theme="1"/>
        <rFont val="Calibri"/>
        <family val="2"/>
        <scheme val="minor"/>
      </rPr>
      <t>e</t>
    </r>
    <r>
      <rPr>
        <sz val="12"/>
        <color theme="1"/>
        <rFont val="Calibri"/>
        <family val="2"/>
        <scheme val="minor"/>
      </rPr>
      <t>/jaar</t>
    </r>
  </si>
  <si>
    <t>Elektriciteitsverbruik - gas gunstig</t>
  </si>
  <si>
    <r>
      <t>kWh</t>
    </r>
    <r>
      <rPr>
        <i/>
        <vertAlign val="subscript"/>
        <sz val="12"/>
        <color theme="1" tint="0.499984740745262"/>
        <rFont val="Calibri"/>
        <family val="2"/>
        <scheme val="minor"/>
      </rPr>
      <t>e</t>
    </r>
    <r>
      <rPr>
        <i/>
        <sz val="12"/>
        <color theme="1" tint="0.499984740745262"/>
        <rFont val="Calibri"/>
        <family val="2"/>
        <scheme val="minor"/>
      </rPr>
      <t>/jaar</t>
    </r>
  </si>
  <si>
    <t>Elektriciteitsverbruik - elek gunstig</t>
  </si>
  <si>
    <t>Vaste kosten</t>
  </si>
  <si>
    <t>Totaal investeringskosten (geverifieerd)</t>
  </si>
  <si>
    <t>&gt; Toepasselijke nettarieven</t>
  </si>
  <si>
    <t>&gt; Jaarlijkse vaste netkosten</t>
  </si>
  <si>
    <t>&gt; Correctiefactor inputvermogen netkosten</t>
  </si>
  <si>
    <t>&gt; Vermogen gerelateerde netwerkkosten</t>
  </si>
  <si>
    <t>&gt; Overige vaste operationele kosten</t>
  </si>
  <si>
    <t>Totaal jaarlijkse vaste kosten</t>
  </si>
  <si>
    <t>SCENARIO fossiel gunstig</t>
  </si>
  <si>
    <r>
      <t>€/kW</t>
    </r>
    <r>
      <rPr>
        <vertAlign val="subscript"/>
        <sz val="12"/>
        <color theme="1" tint="0.499984740745262"/>
        <rFont val="Calibri"/>
        <family val="2"/>
        <scheme val="minor"/>
      </rPr>
      <t>e</t>
    </r>
    <r>
      <rPr>
        <sz val="12"/>
        <color theme="1" tint="0.499984740745262"/>
        <rFont val="Calibri"/>
        <family val="2"/>
        <scheme val="minor"/>
      </rPr>
      <t>/jaar</t>
    </r>
  </si>
  <si>
    <t>SCENARIO elektrisch gunstig</t>
  </si>
  <si>
    <t>Variabele kosten</t>
  </si>
  <si>
    <t xml:space="preserve">&gt; Elektriciteitsprijs markt </t>
  </si>
  <si>
    <t>&gt; Elektriciteitsprijs taksen en netkosten</t>
  </si>
  <si>
    <t>&gt; Totaal elektriciteitskost</t>
  </si>
  <si>
    <t>Totaal jaarlijkse variabele elektriciteitskosten</t>
  </si>
  <si>
    <t>SCENARIO gas gunstig</t>
  </si>
  <si>
    <t>&gt; Elektriciteitsprijs markt</t>
  </si>
  <si>
    <r>
      <t>€/kWh</t>
    </r>
    <r>
      <rPr>
        <vertAlign val="subscript"/>
        <sz val="12"/>
        <color theme="1" tint="0.499984740745262"/>
        <rFont val="Calibri"/>
        <family val="2"/>
        <scheme val="minor"/>
      </rPr>
      <t>e</t>
    </r>
  </si>
  <si>
    <t xml:space="preserve">  </t>
  </si>
  <si>
    <t>OPBRENGSTEN EN VERMEDEN KOSTEN</t>
  </si>
  <si>
    <t>Vermeden gaskost</t>
  </si>
  <si>
    <t>&gt; Vermeden gasprijs markt</t>
  </si>
  <si>
    <t>&gt; Vermeden gasprijs taksen en netkosten</t>
  </si>
  <si>
    <t>Totale vermeden gaskost</t>
  </si>
  <si>
    <t>€/kWhth</t>
  </si>
  <si>
    <t>Totaal jaarlijkse vermeden gaskost</t>
  </si>
  <si>
    <r>
      <t>€/kWh</t>
    </r>
    <r>
      <rPr>
        <vertAlign val="subscript"/>
        <sz val="12"/>
        <color theme="1" tint="0.499984740745262"/>
        <rFont val="Calibri"/>
        <family val="2"/>
        <scheme val="minor"/>
      </rPr>
      <t>bvw</t>
    </r>
  </si>
  <si>
    <t>&gt;  Vermeden gasprijs markt</t>
  </si>
  <si>
    <t>Vermeden CO2-prijzen</t>
  </si>
  <si>
    <r>
      <t>€/kWh</t>
    </r>
    <r>
      <rPr>
        <vertAlign val="subscript"/>
        <sz val="12"/>
        <color theme="1" tint="0.499984740745262"/>
        <rFont val="Calibri"/>
        <family val="2"/>
        <scheme val="minor"/>
      </rPr>
      <t>th</t>
    </r>
  </si>
  <si>
    <t>Subsidies en steun</t>
  </si>
  <si>
    <t>Subsidie compensatie indirecte emissiekosten</t>
  </si>
  <si>
    <t>Overige</t>
  </si>
  <si>
    <t>Balanceringsdiensten activatiemarkt</t>
  </si>
  <si>
    <t>Geactiveerde hoeveelheid</t>
  </si>
  <si>
    <t>kWh/jaar</t>
  </si>
  <si>
    <t>WARMTEOPSLAG</t>
  </si>
  <si>
    <t>kWe</t>
  </si>
  <si>
    <t>Warmtehoeveelheid</t>
  </si>
  <si>
    <t>Thermisch rendement</t>
  </si>
  <si>
    <t>Kosten</t>
  </si>
  <si>
    <t>Overige vaste kosten</t>
  </si>
  <si>
    <t>€/kW</t>
  </si>
  <si>
    <t>FINANCIËLE PARAMETERS</t>
  </si>
  <si>
    <t>Rendement op vreemd vermogen</t>
  </si>
  <si>
    <t>Rendement op eigen vermogen</t>
  </si>
  <si>
    <t>Aandeel vreemd vermogen</t>
  </si>
  <si>
    <t>Aandeel eigen vermogen</t>
  </si>
  <si>
    <t>WACC</t>
  </si>
  <si>
    <t>Berekening</t>
  </si>
  <si>
    <t>\\\\\\\\\\\\\\\\\\\\\\\\\\\\\\\\\\\\\\\\\\\\\\\\\\\\\\\\\\\\\\\\\\\\\\\\\\\\\\\\\\\\\\\\\\\\\\\\\\\\\\\\\\\\\\\\\\\\\\\\\\\\\\\\\\\\\\\\\\\\\\\\\\\\\\\\\\\\\\\\\\\\\\\\\\\\\\\\\\\\\\\\\\\\\\\\\\\\\\\\\\\\\\\\\\\\\\\\\\\\\\\\\\\\\\\\\\\\\\\\\\\\\\\\\\\\\\\\\\\\\\\\\\\\\\\\\\\\\\\\\\\\\\\\\\\\\\\\\\\\\\\\\\\\\\\\\\\\\\\\\\\\\\\\\\\\\\\\\\\\\\\\\\\\\\\\\\\\\\\\\\\\\\\\\\\\\\\\\\\\\\\\\\\\\\\\\\\\\\\\\\\\\\\\\\\\\\\\\\\\\\\\\\\\\\\\\\\\\\\\\\\\\\\\\\\\\\\\\\\\\\\\\\\\\\\\\\\\\\\\\\\\\\\\\\\\\\\\\\\\\\\\\\\\\\\\\\\\\\\\\\\\\\\\\\\\\\\\\\\\\\\\\\\\\\\\\\\\\\\\\\\\\\\\\\\\\\\\\\\\\\\\\\\\\\\\\\\\\\\\\\\\\\\\\\\\\\\\\\\\\\\\\\\\\\\\\\\\\\\\\\\\\\\\\\\\\\\\\\\\\\\\\\\\\\\\\\\\\\\\\\\\\\\\\\\\\\\\\\\\\\\\\\\\\\\\\\\\\\\\\\\\\\\\\\\\\\\\\\\\\\\\\\\\\\\\\\\\\\\\\\\\\\\\\\\\\\\\\\\\\\\\\\\\\\\\\\\\\\\\\\\\\\\\\\\\\\\\\\\\\\\\\\\\\\\\\\\\\\\\\\\\\\\\\\\\\\\\\\\\\\\\\\\\\\\\\\\\\\\\\\\\\\\\\\\\\\\\\\\\\\\\\\\\\\\\\\\\\\\\\\\\\\\\\\\\\\\\\\\\\\\\\\\\\\\\\\\\\\\\\\\\\\\\\\\\\\\\\\\\\\\\\\\\\\\\\\\\\\\\\\\\\\\\\\\\\\\\\\\\\\\\\\\\\\\\\\\\\\\\\\\\\\\\\\\\\\\\\\\\\\\\\\\\\\\\\\\\\\\\\\\\\\\\\\\\\\\\\\\\\\\\\\\\\\\\\\\\\\\\\\\\\\\\\\\\\\\\\\\\\\\\\\\\\\\\\\\\\\\\\\\\\\\\\\\</t>
  </si>
  <si>
    <t>Inflator</t>
  </si>
  <si>
    <t>WERKELIJKE KOSTEN</t>
  </si>
  <si>
    <t xml:space="preserve">Eenheid </t>
  </si>
  <si>
    <t>Investeringskosten</t>
  </si>
  <si>
    <t>Kasstroom kosten (zonder afschrijving)</t>
  </si>
  <si>
    <t>WERKELIJKE OPBRENGSTEN / VERMEDEN KOSTEN</t>
  </si>
  <si>
    <t>Vermeden kosten emissierechten</t>
  </si>
  <si>
    <t>Vermeden gaskosten</t>
  </si>
  <si>
    <t>Balanceringsdiensten</t>
  </si>
  <si>
    <t>Opbrengsten/vermeden kosten per jaar</t>
  </si>
  <si>
    <t>BELASTBARE BASIS</t>
  </si>
  <si>
    <t>Afschrijving</t>
  </si>
  <si>
    <t>Inkomsten voor belastingen</t>
  </si>
  <si>
    <t>Belastingen</t>
  </si>
  <si>
    <t>KASSTROMEN</t>
  </si>
  <si>
    <t>Kasstromen</t>
  </si>
  <si>
    <t>Kasstroom na belasting</t>
  </si>
  <si>
    <t>Kasstroom incl. subsidies</t>
  </si>
  <si>
    <t>Verdisconteerde totalen</t>
  </si>
  <si>
    <t>Verdisconteerde kasstroom</t>
  </si>
  <si>
    <t>Verdisconteerde cumulatieve som</t>
  </si>
  <si>
    <t>DPBP</t>
  </si>
  <si>
    <t>Net Present Value</t>
  </si>
  <si>
    <t>IRR</t>
  </si>
  <si>
    <t>ROI</t>
  </si>
  <si>
    <t>Gevoeligheidanalyse</t>
  </si>
  <si>
    <t>\\\\\\\\\\\\\\\\\\\\\\\\\\\\\\\\\\\\\\\\\\\\\\\\\\\\\\\\\\\\\\\\\\\\\\\\\\\\\\\\\\\\\\\\\\\\\\\\\\\\\\\\\\\\\\\\\\\\\\\\\\\\\\\\\\\\\\\\\\\\\\\\\\\\\\\\\\\\\\\\\\\\\\\\\\\\\\\\\\\\\\\\\\\\\\\\\\\\\\\\\\\\\\\\\\\\\\\\\\\\\\\\\\\\\\\\\\\\\\\\\\\\\\\\\\\\\\\\\\\\\\\\\\\\\\\\\\\\\\\\\\\\\\\\\\\\\\\\\\\\\\\\\\\\\\\\\\\\\\\\\\\\\\\\\\\\\\\\\\\\\\\\\\\\\\\\\\\\\\\\\\\\\\\\\\\\\\\\\\\\\\\\\\\\\\\\\\\\\\\\\\\\\\\\\\\\\\\\\\\\\\\\\\\\\\\\\\\\\\\\\\\\\\\\\\\\\\\\\\\\\\\\\\\\\\\\\\\\\\\\\\\\\\\\\\\\\\\\\\\\\\\\\\\\\\\\\\\\\\\\\\\\\\\\\\\\\\\\\\\\\\\\\\\\\\\\\\\\\\\\\\\\\\\\\\\\\\\\\\\\\\\\\\\\\\\\\\\\\\\\\\\\\\\\\\\\\\\\\\\\\\\\\\\\\\\\\\\\\\\\\\\\\\\\\\\\\\\\\\\\\\\\\\\\\\\\\\\\\\\\\\\\\\\\\\\\\\\\\\\\\\\\\\\\\\\\\\\\\\\\\\\\\\\\\\\\\\\\\\\\\\\\\\\\\\\\\\\\\\\\\\\\\\\\\\\\\\\\\\\\\\\\\\\\\\\\\\\\\\\\\\\\\\\\\\\\\\\\\\\\\\\\\\\\\\\\\\\\\\\\\\\\\\\\\\\\\\\\\\\\\\\\\\\\\\\\\\\\\\\\\\\\\\\\\\\\\\\\\\\\\\\\\\\\\\\\\\\\\\\\\\\\\\\\\\\\\\\\\\\\\\\\\\\\\\\\\\\\\\\\\\\\\\\\\\\\\\\\\\\\\\\\\\\\\\\\\\\\\\\\\\\\\\\\\\\\\\\\\\\\\\\\\\\\\\\\\\\\\\\\\\\\\\\\\\\\\\\\\\\\\\\\\\\\\\\\\\\\\\\\\\\\\\\\\\\\\\\\\\\\\\\\\\\\\\\\\\\\\\\\\\\\\\\\\\\\\\\\\\\\\\\\\\\\\\\\\\\\\\\\\\\\\\\\\\\\\\\\\\\\\\\\\\\\\\\\\\\\\\\\\\\\\\\\\\\\\\\\\\\\\\\\\\\\\\\\\\\\\\\\\\\\\\\\\\\\\\\\\\\\\\\\\\\\\\\\\\\\\\\\\\\\\\\\\\\\\\\\\\\\\\\\\\\\\\\\\\\\\\\\\\\\\\\\\\\\\\\\\\\\\\\\\\\\\\\\\\\\\\\\\\\\\\\\\\\\\\\\\\\\\\\\\\\\\\\\\\\\\\\\\\\\\\\\\\\\\\\\\\\\\\\\\\\\\\\\\\\\\\\\\\\\\\\\\\\\\\\\\\\\\\\\\\\\\\\\\\\\\\\\\\\\\\\\\\\\\\\\\\\\\\\\\\\\\\\\\\\\\\\\\\\\\\\\\\\\\\\\\\\\\\\\\\\\\\\\\\\\\\\\\\\\\\\\\\\\\\\\\\\\\\\\\\\\\\\\\\\\\\\\\\\\\\\\\\\\\\\\\\\\\\\\\\\</t>
  </si>
  <si>
    <t>Data grafieken</t>
  </si>
  <si>
    <t>SCENARIO: Gas gunstig shade</t>
  </si>
  <si>
    <t>SCENARIO: Elektrisch gunstig shade</t>
  </si>
  <si>
    <t>Diff</t>
  </si>
  <si>
    <t>Toepasselijke nettarieven?</t>
  </si>
  <si>
    <t>Evaluatieperiode</t>
  </si>
  <si>
    <t>Aandeel elektr. Hybride model</t>
  </si>
  <si>
    <t xml:space="preserve">Warmteopslag </t>
  </si>
  <si>
    <t>Geschikte verbruiksprofielen</t>
  </si>
  <si>
    <t>E-boiler</t>
  </si>
  <si>
    <t>Fluvius</t>
  </si>
  <si>
    <t>Ja</t>
  </si>
  <si>
    <t>BASELOAD</t>
  </si>
  <si>
    <t xml:space="preserve">MVR </t>
  </si>
  <si>
    <t>FULL FLEX DAILY</t>
  </si>
  <si>
    <t>50% FLEX DAILY</t>
  </si>
  <si>
    <t>25% FLEX DAILY</t>
  </si>
  <si>
    <t>FULL FLEX YEARLY</t>
  </si>
  <si>
    <t>MANUAL</t>
  </si>
  <si>
    <t>EXTRA</t>
  </si>
  <si>
    <t>VEBRRUIKSPROFIELEN</t>
  </si>
  <si>
    <t>TOEPASSINGSGEBIEDEN VERBRUIKSPROFIELEN</t>
  </si>
  <si>
    <t>REALISTISCH</t>
  </si>
  <si>
    <t>Reactors scenario, gasprijs 32€/MWh, ETS1 2025/2050 70/481€/ton</t>
  </si>
  <si>
    <t>€/MWh</t>
  </si>
  <si>
    <t>MVR</t>
  </si>
  <si>
    <t>2025</t>
  </si>
  <si>
    <t>2030</t>
  </si>
  <si>
    <t>2035</t>
  </si>
  <si>
    <t>2040</t>
  </si>
  <si>
    <t>2045</t>
  </si>
  <si>
    <t>2050</t>
  </si>
  <si>
    <t>50% FLEX 50% BASELOAD</t>
  </si>
  <si>
    <t>25% FLEX 75% BASELOAD</t>
  </si>
  <si>
    <t>GAS GUNSTIG</t>
  </si>
  <si>
    <t>MOL IMP, gasprijs 24€/MWh, ETS1 prijs 2025/2050 70/481€/ton</t>
  </si>
  <si>
    <t>ELEKTRISCH GUNSTIG</t>
  </si>
  <si>
    <t>ROTORS scenario PATHS, gasprijs 32€/MWh, ETS1 prijs 2030/2035/2040 =&gt; 100/200/300€/ton</t>
  </si>
  <si>
    <t>70/36/30 kV Elia</t>
  </si>
  <si>
    <t>380/220/150 kV Elia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</si>
</sst>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164" formatCode="#,##0.00\ &quot;€&quot;;[Red]\-#,##0.00\ &quot;€&quot;"/>
    <numFmt numFmtId="165" formatCode="_-* #,##0.00\ &quot;€&quot;_-;\-* #,##0.00\ &quot;€&quot;_-;_-* &quot;-&quot;??\ &quot;€&quot;_-;_-@_-"/>
    <numFmt numFmtId="166" formatCode="_-* #,##0.00_-;\-* #,##0.00_-;_-* &quot;-&quot;??_-;_-@_-"/>
    <numFmt numFmtId="167" formatCode="0.000"/>
    <numFmt numFmtId="168" formatCode="0.0%"/>
    <numFmt numFmtId="169" formatCode="0.0000"/>
    <numFmt numFmtId="170" formatCode="#,##0.0000"/>
    <numFmt numFmtId="171" formatCode="#,##0.0"/>
    <numFmt numFmtId="172" formatCode="#,##0.000"/>
    <numFmt numFmtId="173" formatCode="#,##0.00000"/>
    <numFmt numFmtId="174" formatCode="0.00000"/>
    <numFmt numFmtId="175" formatCode="#,##0.00\ _€;\-#,##0.00\ _€"/>
    <numFmt numFmtId="176" formatCode="#,##0\ _€;\-#,##0\ _€"/>
    <numFmt numFmtId="177" formatCode="_-* #,##0_-;\-* #,##0_-;_-* &quot;-&quot;??_-;_-@_-"/>
    <numFmt numFmtId="178" formatCode="0.0"/>
  </numFmts>
  <fonts count="86" x14ac:knownFonts="1">
    <font>
      <sz val="11"/>
      <color theme="1"/>
      <name val="Calibri"/>
      <family val="2"/>
      <scheme val="minor"/>
    </font>
    <font>
      <sz val="9"/>
      <color theme="1"/>
      <name val="Verdana"/>
      <family val="2"/>
    </font>
    <font>
      <b/>
      <sz val="9"/>
      <color theme="1"/>
      <name val="Verdana"/>
      <family val="2"/>
    </font>
    <font>
      <sz val="11"/>
      <color theme="1"/>
      <name val="Calibri"/>
      <family val="2"/>
      <scheme val="minor"/>
    </font>
    <font>
      <sz val="8"/>
      <name val="Calibri"/>
      <family val="2"/>
      <scheme val="minor"/>
    </font>
    <font>
      <sz val="9"/>
      <color rgb="FF002E56"/>
      <name val="Verdana"/>
      <family val="2"/>
    </font>
    <font>
      <i/>
      <sz val="11"/>
      <color rgb="FF7F7F7F"/>
      <name val="Calibri"/>
      <family val="2"/>
      <scheme val="minor"/>
    </font>
    <font>
      <u/>
      <sz val="11"/>
      <color theme="10"/>
      <name val="Calibri"/>
      <family val="2"/>
      <scheme val="minor"/>
    </font>
    <font>
      <sz val="11"/>
      <color rgb="FF3F3F76"/>
      <name val="Calibri"/>
      <family val="2"/>
      <scheme val="minor"/>
    </font>
    <font>
      <sz val="9"/>
      <color theme="1"/>
      <name val="Verdana"/>
      <family val="2"/>
    </font>
    <font>
      <b/>
      <sz val="11"/>
      <color theme="1"/>
      <name val="Calibri"/>
      <family val="2"/>
      <scheme val="minor"/>
    </font>
    <font>
      <sz val="26"/>
      <color theme="0"/>
      <name val="Calibri Light"/>
      <family val="2"/>
      <scheme val="major"/>
    </font>
    <font>
      <sz val="12"/>
      <color theme="1"/>
      <name val="Calibri"/>
      <family val="2"/>
      <scheme val="minor"/>
    </font>
    <font>
      <b/>
      <sz val="14"/>
      <name val="Calibri"/>
      <family val="2"/>
      <scheme val="minor"/>
    </font>
    <font>
      <sz val="9"/>
      <color rgb="FF009B48"/>
      <name val="Verdana"/>
      <family val="2"/>
    </font>
    <font>
      <sz val="11"/>
      <color rgb="FF009B48"/>
      <name val="Calibri"/>
      <family val="2"/>
      <scheme val="minor"/>
    </font>
    <font>
      <b/>
      <sz val="12"/>
      <color theme="1"/>
      <name val="Calibri"/>
      <family val="2"/>
      <scheme val="minor"/>
    </font>
    <font>
      <u/>
      <sz val="12"/>
      <color theme="10"/>
      <name val="Calibri"/>
      <family val="2"/>
      <scheme val="minor"/>
    </font>
    <font>
      <u/>
      <sz val="12"/>
      <color rgb="FFFF0000"/>
      <name val="Calibri"/>
      <family val="2"/>
      <scheme val="minor"/>
    </font>
    <font>
      <sz val="12"/>
      <color rgb="FFFF0000"/>
      <name val="Calibri"/>
      <family val="2"/>
      <scheme val="minor"/>
    </font>
    <font>
      <sz val="12"/>
      <name val="Calibri"/>
      <family val="2"/>
      <scheme val="minor"/>
    </font>
    <font>
      <i/>
      <sz val="12"/>
      <name val="Calibri"/>
      <family val="2"/>
      <scheme val="minor"/>
    </font>
    <font>
      <b/>
      <i/>
      <sz val="12"/>
      <color theme="1"/>
      <name val="Calibri"/>
      <family val="2"/>
      <scheme val="minor"/>
    </font>
    <font>
      <b/>
      <i/>
      <sz val="12"/>
      <name val="Calibri"/>
      <family val="2"/>
      <scheme val="minor"/>
    </font>
    <font>
      <i/>
      <sz val="12"/>
      <color theme="1"/>
      <name val="Calibri"/>
      <family val="2"/>
      <scheme val="minor"/>
    </font>
    <font>
      <vertAlign val="subscript"/>
      <sz val="12"/>
      <name val="Calibri"/>
      <family val="2"/>
      <scheme val="minor"/>
    </font>
    <font>
      <i/>
      <sz val="12"/>
      <color rgb="FF7F7F7F"/>
      <name val="Calibri"/>
      <family val="2"/>
      <scheme val="minor"/>
    </font>
    <font>
      <vertAlign val="subscript"/>
      <sz val="12"/>
      <color theme="1"/>
      <name val="Calibri"/>
      <family val="2"/>
      <scheme val="minor"/>
    </font>
    <font>
      <b/>
      <sz val="12"/>
      <color rgb="FF002E56"/>
      <name val="Calibri"/>
      <family val="2"/>
      <scheme val="minor"/>
    </font>
    <font>
      <sz val="12"/>
      <color rgb="FF002E56"/>
      <name val="Calibri"/>
      <family val="2"/>
      <scheme val="minor"/>
    </font>
    <font>
      <sz val="12"/>
      <color rgb="FF000000"/>
      <name val="Calibri"/>
      <family val="2"/>
      <scheme val="minor"/>
    </font>
    <font>
      <i/>
      <vertAlign val="subscript"/>
      <sz val="12"/>
      <name val="Calibri"/>
      <family val="2"/>
      <scheme val="minor"/>
    </font>
    <font>
      <b/>
      <sz val="12"/>
      <name val="Calibri"/>
      <family val="2"/>
      <scheme val="minor"/>
    </font>
    <font>
      <sz val="12"/>
      <color rgb="FF009B48"/>
      <name val="Calibri"/>
      <family val="2"/>
      <scheme val="minor"/>
    </font>
    <font>
      <sz val="12"/>
      <color rgb="FF00B050"/>
      <name val="Calibri"/>
      <family val="2"/>
      <scheme val="minor"/>
    </font>
    <font>
      <sz val="12"/>
      <color rgb="FF3F3F76"/>
      <name val="Calibri"/>
      <family val="2"/>
      <scheme val="minor"/>
    </font>
    <font>
      <b/>
      <sz val="12"/>
      <color rgb="FFFF0000"/>
      <name val="Calibri"/>
      <family val="2"/>
      <scheme val="minor"/>
    </font>
    <font>
      <sz val="12"/>
      <color theme="0" tint="-0.249977111117893"/>
      <name val="Calibri"/>
      <family val="2"/>
      <scheme val="minor"/>
    </font>
    <font>
      <vertAlign val="subscript"/>
      <sz val="12"/>
      <color rgb="FF000000"/>
      <name val="Calibri"/>
      <family val="2"/>
      <scheme val="minor"/>
    </font>
    <font>
      <b/>
      <sz val="11"/>
      <color rgb="FFFF0000"/>
      <name val="Calibri"/>
      <family val="2"/>
      <scheme val="minor"/>
    </font>
    <font>
      <b/>
      <sz val="12"/>
      <color theme="0"/>
      <name val="Calibri"/>
      <family val="2"/>
      <scheme val="minor"/>
    </font>
    <font>
      <b/>
      <sz val="16"/>
      <name val="Calibri"/>
      <family val="2"/>
      <scheme val="minor"/>
    </font>
    <font>
      <sz val="12"/>
      <color theme="0"/>
      <name val="Calibri"/>
      <family val="2"/>
      <scheme val="minor"/>
    </font>
    <font>
      <b/>
      <u/>
      <sz val="9"/>
      <color theme="1"/>
      <name val="Verdana"/>
      <family val="2"/>
    </font>
    <font>
      <sz val="9"/>
      <color theme="1"/>
      <name val="Verdana"/>
      <family val="2"/>
    </font>
    <font>
      <sz val="9"/>
      <color rgb="FF002E56"/>
      <name val="Verdana"/>
      <family val="2"/>
    </font>
    <font>
      <sz val="12"/>
      <color theme="1"/>
      <name val="Calibri"/>
      <family val="2"/>
    </font>
    <font>
      <sz val="12"/>
      <name val="Calibri"/>
      <family val="2"/>
    </font>
    <font>
      <b/>
      <sz val="12"/>
      <color theme="0"/>
      <name val="Calibri"/>
      <family val="2"/>
    </font>
    <font>
      <b/>
      <sz val="12"/>
      <name val="Calibri"/>
      <family val="2"/>
    </font>
    <font>
      <sz val="12"/>
      <color theme="2" tint="-0.249977111117893"/>
      <name val="Calibri"/>
      <family val="2"/>
      <scheme val="minor"/>
    </font>
    <font>
      <sz val="12"/>
      <color theme="5"/>
      <name val="Calibri"/>
      <family val="2"/>
      <scheme val="minor"/>
    </font>
    <font>
      <b/>
      <sz val="12"/>
      <color theme="5"/>
      <name val="Calibri"/>
      <family val="2"/>
      <scheme val="minor"/>
    </font>
    <font>
      <sz val="9"/>
      <color theme="1"/>
      <name val="Calibri"/>
      <family val="2"/>
      <scheme val="minor"/>
    </font>
    <font>
      <i/>
      <sz val="12"/>
      <color theme="1" tint="0.499984740745262"/>
      <name val="Calibri"/>
      <family val="2"/>
      <scheme val="minor"/>
    </font>
    <font>
      <sz val="12"/>
      <color theme="1" tint="0.499984740745262"/>
      <name val="Calibri"/>
      <family val="2"/>
      <scheme val="minor"/>
    </font>
    <font>
      <vertAlign val="subscript"/>
      <sz val="12"/>
      <color theme="1" tint="0.499984740745262"/>
      <name val="Calibri"/>
      <family val="2"/>
      <scheme val="minor"/>
    </font>
    <font>
      <b/>
      <i/>
      <sz val="12"/>
      <color theme="1" tint="0.499984740745262"/>
      <name val="Calibri"/>
      <family val="2"/>
      <scheme val="minor"/>
    </font>
    <font>
      <b/>
      <sz val="11"/>
      <color theme="1" tint="0.499984740745262"/>
      <name val="Calibri"/>
      <family val="2"/>
      <scheme val="minor"/>
    </font>
    <font>
      <sz val="14"/>
      <name val="Calibri"/>
      <family val="2"/>
      <scheme val="minor"/>
    </font>
    <font>
      <b/>
      <sz val="16"/>
      <color theme="1"/>
      <name val="Calibri"/>
      <family val="2"/>
      <scheme val="minor"/>
    </font>
    <font>
      <sz val="12"/>
      <color theme="0" tint="-0.499984740745262"/>
      <name val="Calibri"/>
      <family val="2"/>
      <scheme val="minor"/>
    </font>
    <font>
      <sz val="8"/>
      <color theme="0"/>
      <name val="Calibri"/>
      <family val="2"/>
      <scheme val="minor"/>
    </font>
    <font>
      <sz val="9"/>
      <color theme="0"/>
      <name val="Verdana"/>
      <family val="2"/>
    </font>
    <font>
      <b/>
      <sz val="12"/>
      <color theme="1" tint="0.499984740745262"/>
      <name val="Calibri"/>
      <family val="2"/>
      <scheme val="minor"/>
    </font>
    <font>
      <b/>
      <sz val="14"/>
      <color rgb="FF009B48"/>
      <name val="Calibri"/>
      <family val="2"/>
      <scheme val="minor"/>
    </font>
    <font>
      <sz val="14"/>
      <color theme="1"/>
      <name val="Calibri"/>
      <family val="2"/>
      <scheme val="minor"/>
    </font>
    <font>
      <sz val="16"/>
      <color theme="1"/>
      <name val="Calibri"/>
      <family val="2"/>
      <scheme val="minor"/>
    </font>
    <font>
      <b/>
      <sz val="14"/>
      <color theme="1"/>
      <name val="Calibri"/>
      <family val="2"/>
      <scheme val="minor"/>
    </font>
    <font>
      <b/>
      <sz val="24"/>
      <color theme="1"/>
      <name val="Calibri"/>
      <family val="2"/>
      <scheme val="minor"/>
    </font>
    <font>
      <sz val="11"/>
      <color rgb="FFFF0000"/>
      <name val="Calibri"/>
      <family val="2"/>
      <scheme val="minor"/>
    </font>
    <font>
      <i/>
      <sz val="11"/>
      <color theme="1"/>
      <name val="Calibri"/>
      <family val="2"/>
      <scheme val="minor"/>
    </font>
    <font>
      <sz val="11"/>
      <color theme="1" tint="0.499984740745262"/>
      <name val="Calibri"/>
      <family val="2"/>
      <scheme val="minor"/>
    </font>
    <font>
      <i/>
      <sz val="9"/>
      <color rgb="FF002E56"/>
      <name val="Verdana"/>
      <family val="2"/>
    </font>
    <font>
      <i/>
      <sz val="11"/>
      <color rgb="FFFF0000"/>
      <name val="Calibri"/>
      <family val="2"/>
      <scheme val="minor"/>
    </font>
    <font>
      <b/>
      <i/>
      <sz val="18"/>
      <name val="Calibri"/>
      <family val="2"/>
      <scheme val="minor"/>
    </font>
    <font>
      <b/>
      <sz val="26"/>
      <color theme="0"/>
      <name val="Calibri Light"/>
      <family val="2"/>
      <scheme val="major"/>
    </font>
    <font>
      <i/>
      <vertAlign val="subscript"/>
      <sz val="12"/>
      <color theme="1" tint="0.499984740745262"/>
      <name val="Calibri"/>
      <family val="2"/>
      <scheme val="minor"/>
    </font>
    <font>
      <b/>
      <i/>
      <sz val="11"/>
      <name val="Calibri"/>
      <family val="2"/>
      <scheme val="minor"/>
    </font>
    <font>
      <i/>
      <sz val="11"/>
      <name val="Calibri"/>
      <family val="2"/>
      <scheme val="minor"/>
    </font>
    <font>
      <b/>
      <sz val="14"/>
      <color theme="5"/>
      <name val="Calibri"/>
      <family val="2"/>
      <scheme val="minor"/>
    </font>
    <font>
      <i/>
      <sz val="9"/>
      <color theme="1"/>
      <name val="Segoe UI"/>
      <family val="2"/>
    </font>
    <font>
      <u/>
      <sz val="12"/>
      <color theme="5"/>
      <name val="Calibri"/>
      <family val="2"/>
      <scheme val="minor"/>
    </font>
    <font>
      <sz val="11"/>
      <name val="Calibri"/>
      <family val="2"/>
      <scheme val="minor"/>
    </font>
    <font>
      <b/>
      <sz val="11"/>
      <name val="Calibri"/>
      <family val="2"/>
      <scheme val="minor"/>
    </font>
    <font>
      <sz val="8"/>
      <color rgb="FFFF0000"/>
      <name val="Calibri"/>
      <family val="2"/>
      <scheme val="minor"/>
    </font>
  </fonts>
  <fills count="15">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FCC99"/>
      </patternFill>
    </fill>
    <fill>
      <patternFill patternType="solid">
        <fgColor rgb="FFEAEDF2"/>
        <bgColor indexed="64"/>
      </patternFill>
    </fill>
    <fill>
      <patternFill patternType="solid">
        <fgColor rgb="FFFFFFFF"/>
        <bgColor rgb="FF000000"/>
      </patternFill>
    </fill>
    <fill>
      <patternFill patternType="solid">
        <fgColor rgb="FFEAEDF2"/>
        <bgColor rgb="FF000000"/>
      </patternFill>
    </fill>
    <fill>
      <patternFill patternType="solid">
        <fgColor rgb="FF009B48"/>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9" tint="0.79998168889431442"/>
        <bgColor rgb="FF000000"/>
      </patternFill>
    </fill>
    <fill>
      <patternFill patternType="solid">
        <fgColor theme="0"/>
        <bgColor rgb="FF000000"/>
      </patternFill>
    </fill>
    <fill>
      <patternFill patternType="solid">
        <fgColor theme="0" tint="-4.9989318521683403E-2"/>
        <bgColor indexed="64"/>
      </patternFill>
    </fill>
    <fill>
      <patternFill patternType="solid">
        <fgColor rgb="FFFFFFFF"/>
        <bgColor indexed="64"/>
      </patternFill>
    </fill>
  </fills>
  <borders count="15">
    <border>
      <left/>
      <right/>
      <top/>
      <bottom/>
      <diagonal/>
    </border>
    <border>
      <left style="medium">
        <color indexed="64"/>
      </left>
      <right/>
      <top/>
      <bottom/>
      <diagonal/>
    </border>
    <border>
      <left/>
      <right/>
      <top/>
      <bottom style="medium">
        <color indexed="6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medium">
        <color rgb="FF000000"/>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s>
  <cellStyleXfs count="7">
    <xf numFmtId="0" fontId="0" fillId="0" borderId="0"/>
    <xf numFmtId="9" fontId="3"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8" fillId="4" borderId="3" applyNumberFormat="0" applyAlignment="0" applyProtection="0"/>
    <xf numFmtId="166" fontId="3" fillId="0" borderId="0" applyFont="0" applyFill="0" applyBorder="0" applyAlignment="0" applyProtection="0"/>
    <xf numFmtId="165" fontId="3" fillId="0" borderId="0" applyFont="0" applyFill="0" applyBorder="0" applyAlignment="0" applyProtection="0"/>
  </cellStyleXfs>
  <cellXfs count="408">
    <xf numFmtId="0" fontId="0" fillId="0" borderId="0" xfId="0"/>
    <xf numFmtId="0" fontId="1" fillId="2" borderId="0" xfId="0" applyFont="1" applyFill="1"/>
    <xf numFmtId="0" fontId="1" fillId="2" borderId="0" xfId="0" applyFont="1" applyFill="1" applyAlignment="1">
      <alignment horizontal="center" vertical="center"/>
    </xf>
    <xf numFmtId="0" fontId="1" fillId="2" borderId="0" xfId="0" applyFont="1" applyFill="1" applyAlignment="1">
      <alignment horizontal="center"/>
    </xf>
    <xf numFmtId="0" fontId="1" fillId="2" borderId="0" xfId="0" applyFont="1" applyFill="1" applyAlignment="1">
      <alignment vertical="center"/>
    </xf>
    <xf numFmtId="0" fontId="5" fillId="2" borderId="0" xfId="0" applyFont="1" applyFill="1" applyAlignment="1">
      <alignment horizontal="left" vertical="center"/>
    </xf>
    <xf numFmtId="0" fontId="5" fillId="2" borderId="0" xfId="0" applyFont="1" applyFill="1"/>
    <xf numFmtId="0" fontId="9" fillId="2" borderId="0" xfId="0" applyFont="1" applyFill="1" applyAlignment="1">
      <alignment horizontal="center" vertical="center"/>
    </xf>
    <xf numFmtId="0" fontId="5" fillId="8" borderId="0" xfId="0" applyFont="1" applyFill="1"/>
    <xf numFmtId="0" fontId="5" fillId="8" borderId="0" xfId="0" applyFont="1" applyFill="1" applyAlignment="1">
      <alignment horizontal="left" vertical="center"/>
    </xf>
    <xf numFmtId="0" fontId="11" fillId="8" borderId="0" xfId="0" applyFont="1" applyFill="1" applyAlignment="1">
      <alignment horizontal="left" vertical="center"/>
    </xf>
    <xf numFmtId="0" fontId="12" fillId="2" borderId="0" xfId="0" applyFont="1" applyFill="1"/>
    <xf numFmtId="0" fontId="13" fillId="0" borderId="0" xfId="0" applyFont="1" applyAlignment="1">
      <alignment horizontal="left" vertical="center"/>
    </xf>
    <xf numFmtId="0" fontId="13" fillId="0" borderId="0" xfId="0" applyFont="1" applyAlignment="1">
      <alignment horizontal="center" vertical="center"/>
    </xf>
    <xf numFmtId="0" fontId="13" fillId="0" borderId="0" xfId="0" applyFont="1" applyAlignment="1">
      <alignment vertical="center"/>
    </xf>
    <xf numFmtId="0" fontId="12" fillId="2" borderId="0" xfId="0" applyFont="1" applyFill="1" applyAlignment="1">
      <alignment horizontal="left"/>
    </xf>
    <xf numFmtId="0" fontId="12" fillId="2" borderId="0" xfId="0" applyFont="1" applyFill="1" applyAlignment="1">
      <alignment horizontal="left" vertical="center"/>
    </xf>
    <xf numFmtId="172" fontId="12" fillId="2" borderId="0" xfId="0" applyNumberFormat="1" applyFont="1" applyFill="1" applyAlignment="1">
      <alignment horizontal="center" vertical="center"/>
    </xf>
    <xf numFmtId="0" fontId="20" fillId="2" borderId="0" xfId="0" applyFont="1" applyFill="1" applyAlignment="1">
      <alignment horizontal="left" vertical="center"/>
    </xf>
    <xf numFmtId="0" fontId="21" fillId="2" borderId="0" xfId="2" applyFont="1" applyFill="1" applyAlignment="1">
      <alignment vertical="center"/>
    </xf>
    <xf numFmtId="0" fontId="20" fillId="2" borderId="0" xfId="0" applyFont="1" applyFill="1" applyAlignment="1">
      <alignment vertical="center"/>
    </xf>
    <xf numFmtId="0" fontId="12" fillId="2" borderId="0" xfId="0" applyFont="1" applyFill="1" applyAlignment="1">
      <alignment vertical="center"/>
    </xf>
    <xf numFmtId="0" fontId="22" fillId="2" borderId="0" xfId="0" applyFont="1" applyFill="1" applyAlignment="1">
      <alignment horizontal="left" vertical="center"/>
    </xf>
    <xf numFmtId="0" fontId="22" fillId="2" borderId="0" xfId="0" applyFont="1" applyFill="1" applyAlignment="1">
      <alignment horizontal="center" vertical="center"/>
    </xf>
    <xf numFmtId="0" fontId="23" fillId="2" borderId="0" xfId="0" applyFont="1" applyFill="1" applyAlignment="1">
      <alignment horizontal="left" vertical="center"/>
    </xf>
    <xf numFmtId="0" fontId="21" fillId="2" borderId="0" xfId="0" applyFont="1" applyFill="1" applyAlignment="1">
      <alignment horizontal="left" vertical="center"/>
    </xf>
    <xf numFmtId="0" fontId="21" fillId="2" borderId="0" xfId="0" applyFont="1" applyFill="1" applyAlignment="1">
      <alignment vertical="center"/>
    </xf>
    <xf numFmtId="0" fontId="24" fillId="2" borderId="0" xfId="0" applyFont="1" applyFill="1" applyAlignment="1">
      <alignment vertical="center"/>
    </xf>
    <xf numFmtId="4" fontId="12" fillId="5" borderId="0" xfId="0" applyNumberFormat="1" applyFont="1" applyFill="1" applyAlignment="1">
      <alignment horizontal="center" vertical="center"/>
    </xf>
    <xf numFmtId="9" fontId="12" fillId="5" borderId="0" xfId="0" applyNumberFormat="1" applyFont="1" applyFill="1" applyAlignment="1">
      <alignment horizontal="center" vertical="center"/>
    </xf>
    <xf numFmtId="170" fontId="12" fillId="2" borderId="0" xfId="0" applyNumberFormat="1" applyFont="1" applyFill="1" applyAlignment="1">
      <alignment horizontal="center" vertical="center"/>
    </xf>
    <xf numFmtId="0" fontId="12" fillId="2" borderId="0" xfId="0" applyFont="1" applyFill="1" applyAlignment="1">
      <alignment horizontal="center"/>
    </xf>
    <xf numFmtId="10" fontId="12" fillId="2" borderId="0" xfId="0" applyNumberFormat="1" applyFont="1" applyFill="1" applyAlignment="1">
      <alignment horizontal="center" vertical="center"/>
    </xf>
    <xf numFmtId="0" fontId="12" fillId="2" borderId="0" xfId="0" applyFont="1" applyFill="1" applyAlignment="1">
      <alignment horizontal="center" vertical="center"/>
    </xf>
    <xf numFmtId="0" fontId="30" fillId="6" borderId="0" xfId="0" applyFont="1" applyFill="1" applyAlignment="1">
      <alignment vertical="center"/>
    </xf>
    <xf numFmtId="170" fontId="12" fillId="5" borderId="0" xfId="0" applyNumberFormat="1" applyFont="1" applyFill="1" applyAlignment="1">
      <alignment horizontal="center" vertical="center"/>
    </xf>
    <xf numFmtId="0" fontId="12" fillId="5" borderId="0" xfId="0" applyFont="1" applyFill="1" applyAlignment="1">
      <alignment horizontal="center" vertical="center"/>
    </xf>
    <xf numFmtId="0" fontId="32" fillId="0" borderId="0" xfId="0" applyFont="1" applyAlignment="1">
      <alignment horizontal="left" vertical="center"/>
    </xf>
    <xf numFmtId="0" fontId="32" fillId="0" borderId="0" xfId="0" applyFont="1" applyAlignment="1">
      <alignment vertical="center"/>
    </xf>
    <xf numFmtId="0" fontId="33" fillId="0" borderId="0" xfId="0" applyFont="1" applyAlignment="1">
      <alignment vertical="center"/>
    </xf>
    <xf numFmtId="0" fontId="33" fillId="2" borderId="0" xfId="0" applyFont="1" applyFill="1"/>
    <xf numFmtId="0" fontId="33" fillId="0" borderId="0" xfId="0" applyFont="1"/>
    <xf numFmtId="0" fontId="24" fillId="2" borderId="0" xfId="0" applyFont="1" applyFill="1"/>
    <xf numFmtId="0" fontId="24" fillId="2" borderId="0" xfId="0" applyFont="1" applyFill="1" applyAlignment="1">
      <alignment horizontal="left" vertical="center"/>
    </xf>
    <xf numFmtId="0" fontId="23" fillId="0" borderId="0" xfId="0" applyFont="1" applyAlignment="1">
      <alignment horizontal="left" vertical="top" wrapText="1"/>
    </xf>
    <xf numFmtId="0" fontId="23" fillId="0" borderId="0" xfId="0" applyFont="1" applyAlignment="1">
      <alignment vertical="center" wrapText="1"/>
    </xf>
    <xf numFmtId="0" fontId="20" fillId="0" borderId="0" xfId="0" applyFont="1" applyAlignment="1">
      <alignment horizontal="left" vertical="center" wrapText="1"/>
    </xf>
    <xf numFmtId="0" fontId="20" fillId="0" borderId="0" xfId="0" applyFont="1" applyAlignment="1">
      <alignment vertical="center" wrapText="1"/>
    </xf>
    <xf numFmtId="0" fontId="12" fillId="2" borderId="0" xfId="0" applyFont="1" applyFill="1" applyAlignment="1">
      <alignment horizontal="center" vertical="center" wrapText="1"/>
    </xf>
    <xf numFmtId="0" fontId="12" fillId="2" borderId="0" xfId="0" applyFont="1" applyFill="1" applyAlignment="1">
      <alignment vertical="center" wrapText="1"/>
    </xf>
    <xf numFmtId="172" fontId="12" fillId="5" borderId="0" xfId="0" applyNumberFormat="1" applyFont="1" applyFill="1" applyAlignment="1">
      <alignment horizontal="center" vertical="center"/>
    </xf>
    <xf numFmtId="171" fontId="12" fillId="5" borderId="0" xfId="0" applyNumberFormat="1" applyFont="1" applyFill="1" applyAlignment="1">
      <alignment horizontal="center" vertical="center"/>
    </xf>
    <xf numFmtId="0" fontId="12" fillId="2" borderId="2" xfId="0" applyFont="1" applyFill="1" applyBorder="1"/>
    <xf numFmtId="0" fontId="12" fillId="2" borderId="2" xfId="0" applyFont="1" applyFill="1" applyBorder="1" applyAlignment="1">
      <alignment horizontal="center"/>
    </xf>
    <xf numFmtId="0" fontId="16" fillId="2" borderId="0" xfId="0" applyFont="1" applyFill="1" applyAlignment="1">
      <alignment vertical="center"/>
    </xf>
    <xf numFmtId="0" fontId="23" fillId="0" borderId="0" xfId="0" applyFont="1" applyAlignment="1">
      <alignment horizontal="center" vertical="top" wrapText="1"/>
    </xf>
    <xf numFmtId="0" fontId="20" fillId="0" borderId="0" xfId="0" applyFont="1" applyAlignment="1">
      <alignment horizontal="center" vertical="center" wrapText="1"/>
    </xf>
    <xf numFmtId="0" fontId="43" fillId="2" borderId="0" xfId="0" applyFont="1" applyFill="1"/>
    <xf numFmtId="0" fontId="16" fillId="2" borderId="0" xfId="0" applyFont="1" applyFill="1" applyAlignment="1">
      <alignment horizontal="center" vertical="center"/>
    </xf>
    <xf numFmtId="0" fontId="10" fillId="2" borderId="0" xfId="0" applyFont="1" applyFill="1"/>
    <xf numFmtId="0" fontId="0" fillId="2" borderId="0" xfId="0" applyFill="1"/>
    <xf numFmtId="0" fontId="0" fillId="2" borderId="0" xfId="0" applyFill="1" applyAlignment="1">
      <alignment horizontal="left" vertical="center" wrapText="1"/>
    </xf>
    <xf numFmtId="0" fontId="0" fillId="2" borderId="0" xfId="0" applyFill="1" applyAlignment="1">
      <alignment vertical="center"/>
    </xf>
    <xf numFmtId="0" fontId="9" fillId="2" borderId="0" xfId="0" applyFont="1" applyFill="1"/>
    <xf numFmtId="0" fontId="14" fillId="2" borderId="0" xfId="0" applyFont="1" applyFill="1"/>
    <xf numFmtId="0" fontId="15" fillId="0" borderId="0" xfId="0" applyFont="1"/>
    <xf numFmtId="0" fontId="16" fillId="2" borderId="0" xfId="0" applyFont="1" applyFill="1"/>
    <xf numFmtId="0" fontId="17" fillId="2" borderId="0" xfId="3" applyFont="1" applyFill="1" applyProtection="1"/>
    <xf numFmtId="0" fontId="18" fillId="2" borderId="0" xfId="3" applyFont="1" applyFill="1" applyProtection="1"/>
    <xf numFmtId="0" fontId="19" fillId="2" borderId="0" xfId="0" applyFont="1" applyFill="1"/>
    <xf numFmtId="14" fontId="1" fillId="2" borderId="0" xfId="0" applyNumberFormat="1" applyFont="1" applyFill="1" applyAlignment="1">
      <alignment horizontal="left"/>
    </xf>
    <xf numFmtId="0" fontId="1" fillId="2" borderId="0" xfId="0" applyFont="1" applyFill="1" applyAlignment="1">
      <alignment horizontal="left"/>
    </xf>
    <xf numFmtId="0" fontId="9" fillId="2" borderId="0" xfId="0" applyFont="1" applyFill="1" applyAlignment="1">
      <alignment horizontal="left"/>
    </xf>
    <xf numFmtId="0" fontId="2" fillId="2" borderId="0" xfId="0" applyFont="1" applyFill="1"/>
    <xf numFmtId="3" fontId="12" fillId="5" borderId="0" xfId="0" applyNumberFormat="1" applyFont="1" applyFill="1" applyAlignment="1" applyProtection="1">
      <alignment horizontal="center" vertical="center"/>
      <protection locked="0"/>
    </xf>
    <xf numFmtId="2" fontId="20" fillId="5" borderId="0" xfId="0" applyNumberFormat="1" applyFont="1" applyFill="1" applyAlignment="1" applyProtection="1">
      <alignment horizontal="center" vertical="center"/>
      <protection locked="0"/>
    </xf>
    <xf numFmtId="0" fontId="12" fillId="0" borderId="0" xfId="0" applyFont="1" applyAlignment="1">
      <alignment vertical="center"/>
    </xf>
    <xf numFmtId="2" fontId="12" fillId="2" borderId="0" xfId="0" applyNumberFormat="1" applyFont="1" applyFill="1" applyAlignment="1">
      <alignment horizontal="center" vertical="center"/>
    </xf>
    <xf numFmtId="0" fontId="34" fillId="2" borderId="0" xfId="0" applyFont="1" applyFill="1" applyAlignment="1">
      <alignment vertical="center"/>
    </xf>
    <xf numFmtId="3" fontId="42" fillId="2" borderId="0" xfId="0" applyNumberFormat="1" applyFont="1" applyFill="1" applyAlignment="1">
      <alignment horizontal="left" vertical="center"/>
    </xf>
    <xf numFmtId="0" fontId="29" fillId="2" borderId="0" xfId="0" applyFont="1" applyFill="1" applyAlignment="1">
      <alignment horizontal="left" vertical="center"/>
    </xf>
    <xf numFmtId="2" fontId="12" fillId="2" borderId="0" xfId="0" applyNumberFormat="1" applyFont="1" applyFill="1" applyAlignment="1">
      <alignment horizontal="left" vertical="center"/>
    </xf>
    <xf numFmtId="0" fontId="28" fillId="2" borderId="0" xfId="0" applyFont="1" applyFill="1" applyAlignment="1">
      <alignment vertical="center"/>
    </xf>
    <xf numFmtId="0" fontId="12" fillId="2" borderId="0" xfId="0" applyFont="1" applyFill="1" applyAlignment="1">
      <alignment horizontal="right" vertical="center"/>
    </xf>
    <xf numFmtId="0" fontId="39" fillId="0" borderId="0" xfId="0" applyFont="1" applyAlignment="1">
      <alignment horizontal="left" vertical="center"/>
    </xf>
    <xf numFmtId="0" fontId="29" fillId="2" borderId="0" xfId="0" applyFont="1" applyFill="1" applyAlignment="1">
      <alignment vertical="center"/>
    </xf>
    <xf numFmtId="0" fontId="36" fillId="2" borderId="0" xfId="0" applyFont="1" applyFill="1" applyAlignment="1">
      <alignment vertical="center"/>
    </xf>
    <xf numFmtId="0" fontId="22" fillId="2" borderId="0" xfId="0" applyFont="1" applyFill="1" applyAlignment="1">
      <alignment vertical="center" wrapText="1"/>
    </xf>
    <xf numFmtId="0" fontId="22" fillId="2" borderId="0" xfId="0" applyFont="1" applyFill="1" applyAlignment="1">
      <alignment horizontal="center" vertical="center" wrapText="1"/>
    </xf>
    <xf numFmtId="0" fontId="24" fillId="2" borderId="0" xfId="0" applyFont="1" applyFill="1" applyAlignment="1">
      <alignment vertical="center" wrapText="1"/>
    </xf>
    <xf numFmtId="0" fontId="24" fillId="0" borderId="0" xfId="0" applyFont="1" applyAlignment="1">
      <alignment vertical="center" wrapText="1"/>
    </xf>
    <xf numFmtId="171" fontId="12" fillId="0" borderId="0" xfId="0" applyNumberFormat="1" applyFont="1" applyAlignment="1">
      <alignment horizontal="center" vertical="center"/>
    </xf>
    <xf numFmtId="3" fontId="12" fillId="2" borderId="0" xfId="0" applyNumberFormat="1" applyFont="1" applyFill="1" applyAlignment="1">
      <alignment horizontal="center" vertical="center"/>
    </xf>
    <xf numFmtId="0" fontId="19" fillId="2" borderId="0" xfId="0" applyFont="1" applyFill="1" applyAlignment="1">
      <alignment horizontal="center" vertical="center"/>
    </xf>
    <xf numFmtId="0" fontId="19" fillId="2" borderId="0" xfId="0" applyFont="1" applyFill="1" applyAlignment="1">
      <alignment horizontal="right" vertical="center"/>
    </xf>
    <xf numFmtId="0" fontId="20" fillId="0" borderId="0" xfId="0" quotePrefix="1" applyFont="1" applyAlignment="1">
      <alignment vertical="center"/>
    </xf>
    <xf numFmtId="169" fontId="12" fillId="2" borderId="0" xfId="0" applyNumberFormat="1" applyFont="1" applyFill="1" applyAlignment="1">
      <alignment horizontal="center" vertical="center"/>
    </xf>
    <xf numFmtId="0" fontId="20" fillId="0" borderId="0" xfId="0" applyFont="1" applyAlignment="1">
      <alignment vertical="center"/>
    </xf>
    <xf numFmtId="0" fontId="20" fillId="0" borderId="5" xfId="0" applyFont="1" applyBorder="1" applyAlignment="1">
      <alignment vertical="center"/>
    </xf>
    <xf numFmtId="0" fontId="20" fillId="2" borderId="0" xfId="0" applyFont="1" applyFill="1" applyAlignment="1">
      <alignment horizontal="center" vertical="center"/>
    </xf>
    <xf numFmtId="3" fontId="20" fillId="2" borderId="0" xfId="0" applyNumberFormat="1" applyFont="1" applyFill="1" applyAlignment="1">
      <alignment horizontal="center" vertical="center"/>
    </xf>
    <xf numFmtId="0" fontId="20" fillId="2" borderId="5" xfId="0" applyFont="1" applyFill="1" applyBorder="1" applyAlignment="1">
      <alignment vertical="center"/>
    </xf>
    <xf numFmtId="0" fontId="30" fillId="2" borderId="0" xfId="0" applyFont="1" applyFill="1" applyAlignment="1">
      <alignment horizontal="left" vertical="center"/>
    </xf>
    <xf numFmtId="9" fontId="20" fillId="2" borderId="0" xfId="0" applyNumberFormat="1" applyFont="1" applyFill="1" applyAlignment="1">
      <alignment horizontal="center" vertical="center"/>
    </xf>
    <xf numFmtId="10" fontId="20" fillId="2" borderId="0" xfId="0" applyNumberFormat="1" applyFont="1" applyFill="1" applyAlignment="1">
      <alignment horizontal="center" vertical="center"/>
    </xf>
    <xf numFmtId="0" fontId="12" fillId="2" borderId="0" xfId="0" applyFont="1" applyFill="1" applyAlignment="1">
      <alignment horizontal="right"/>
    </xf>
    <xf numFmtId="3" fontId="12" fillId="2" borderId="0" xfId="0" applyNumberFormat="1" applyFont="1" applyFill="1" applyAlignment="1">
      <alignment horizontal="right"/>
    </xf>
    <xf numFmtId="0" fontId="40" fillId="8" borderId="0" xfId="0" applyFont="1" applyFill="1" applyAlignment="1">
      <alignment vertical="center"/>
    </xf>
    <xf numFmtId="0" fontId="40" fillId="8" borderId="0" xfId="0" applyFont="1" applyFill="1" applyAlignment="1">
      <alignment horizontal="center" vertical="center"/>
    </xf>
    <xf numFmtId="0" fontId="20" fillId="2" borderId="0" xfId="0" applyFont="1" applyFill="1"/>
    <xf numFmtId="0" fontId="20" fillId="2" borderId="0" xfId="0" applyFont="1" applyFill="1" applyAlignment="1">
      <alignment horizontal="center"/>
    </xf>
    <xf numFmtId="3" fontId="20" fillId="2" borderId="0" xfId="0" applyNumberFormat="1" applyFont="1" applyFill="1" applyAlignment="1">
      <alignment horizontal="right"/>
    </xf>
    <xf numFmtId="3" fontId="12" fillId="2" borderId="0" xfId="0" applyNumberFormat="1" applyFont="1" applyFill="1" applyAlignment="1">
      <alignment horizontal="center"/>
    </xf>
    <xf numFmtId="0" fontId="32" fillId="2" borderId="0" xfId="0" applyFont="1" applyFill="1"/>
    <xf numFmtId="0" fontId="34" fillId="2" borderId="0" xfId="0" applyFont="1" applyFill="1"/>
    <xf numFmtId="0" fontId="41" fillId="2" borderId="0" xfId="0" applyFont="1" applyFill="1"/>
    <xf numFmtId="3" fontId="37" fillId="2" borderId="0" xfId="0" applyNumberFormat="1" applyFont="1" applyFill="1" applyAlignment="1">
      <alignment horizontal="center"/>
    </xf>
    <xf numFmtId="167" fontId="12" fillId="2" borderId="0" xfId="0" applyNumberFormat="1" applyFont="1" applyFill="1" applyAlignment="1">
      <alignment horizontal="center"/>
    </xf>
    <xf numFmtId="3" fontId="12" fillId="2" borderId="0" xfId="0" applyNumberFormat="1" applyFont="1" applyFill="1"/>
    <xf numFmtId="0" fontId="36" fillId="2" borderId="0" xfId="0" applyFont="1" applyFill="1"/>
    <xf numFmtId="0" fontId="16" fillId="2" borderId="0" xfId="0" applyFont="1" applyFill="1" applyAlignment="1">
      <alignment horizontal="left"/>
    </xf>
    <xf numFmtId="0" fontId="16" fillId="2" borderId="0" xfId="0" applyFont="1" applyFill="1" applyAlignment="1">
      <alignment horizontal="center"/>
    </xf>
    <xf numFmtId="0" fontId="30" fillId="2" borderId="0" xfId="0" applyFont="1" applyFill="1"/>
    <xf numFmtId="3" fontId="20" fillId="2" borderId="0" xfId="0" applyNumberFormat="1" applyFont="1" applyFill="1"/>
    <xf numFmtId="4" fontId="34" fillId="2" borderId="0" xfId="0" applyNumberFormat="1" applyFont="1" applyFill="1" applyAlignment="1">
      <alignment horizontal="left"/>
    </xf>
    <xf numFmtId="4" fontId="12" fillId="2" borderId="0" xfId="0" applyNumberFormat="1" applyFont="1" applyFill="1" applyAlignment="1">
      <alignment horizontal="right"/>
    </xf>
    <xf numFmtId="4" fontId="32" fillId="2" borderId="0" xfId="0" applyNumberFormat="1" applyFont="1" applyFill="1" applyAlignment="1">
      <alignment horizontal="left"/>
    </xf>
    <xf numFmtId="0" fontId="44" fillId="2" borderId="0" xfId="0" applyFont="1" applyFill="1"/>
    <xf numFmtId="0" fontId="45" fillId="2" borderId="0" xfId="0" applyFont="1" applyFill="1"/>
    <xf numFmtId="0" fontId="45" fillId="2" borderId="0" xfId="0" applyFont="1" applyFill="1" applyAlignment="1">
      <alignment horizontal="left" vertical="center"/>
    </xf>
    <xf numFmtId="0" fontId="46" fillId="0" borderId="0" xfId="0" applyFont="1" applyAlignment="1">
      <alignment vertical="center"/>
    </xf>
    <xf numFmtId="0" fontId="47" fillId="0" borderId="0" xfId="0" applyFont="1" applyAlignment="1">
      <alignment vertical="center"/>
    </xf>
    <xf numFmtId="3" fontId="20" fillId="2" borderId="0" xfId="4" applyNumberFormat="1" applyFont="1" applyFill="1" applyBorder="1" applyAlignment="1">
      <alignment horizontal="center" vertical="center"/>
    </xf>
    <xf numFmtId="3" fontId="35" fillId="2" borderId="0" xfId="4" applyNumberFormat="1" applyFont="1" applyFill="1" applyBorder="1" applyAlignment="1">
      <alignment horizontal="center" vertical="center"/>
    </xf>
    <xf numFmtId="0" fontId="35" fillId="2" borderId="0" xfId="4" applyFont="1" applyFill="1" applyBorder="1" applyAlignment="1">
      <alignment horizontal="right" vertical="center"/>
    </xf>
    <xf numFmtId="2" fontId="35" fillId="2" borderId="0" xfId="4" applyNumberFormat="1" applyFont="1" applyFill="1" applyBorder="1" applyAlignment="1">
      <alignment horizontal="center" vertical="center"/>
    </xf>
    <xf numFmtId="10" fontId="12" fillId="2" borderId="0" xfId="1" applyNumberFormat="1" applyFont="1" applyFill="1" applyAlignment="1">
      <alignment horizontal="center" vertical="center"/>
    </xf>
    <xf numFmtId="10" fontId="35" fillId="2" borderId="0" xfId="4" applyNumberFormat="1" applyFont="1" applyFill="1" applyBorder="1" applyAlignment="1">
      <alignment horizontal="right" vertical="center"/>
    </xf>
    <xf numFmtId="0" fontId="26" fillId="2" borderId="0" xfId="2" applyFont="1" applyFill="1"/>
    <xf numFmtId="0" fontId="48" fillId="8" borderId="0" xfId="0" applyFont="1" applyFill="1" applyAlignment="1">
      <alignment vertical="center"/>
    </xf>
    <xf numFmtId="0" fontId="48" fillId="8" borderId="0" xfId="0" applyFont="1" applyFill="1" applyAlignment="1">
      <alignment horizontal="center" vertical="center"/>
    </xf>
    <xf numFmtId="0" fontId="49" fillId="2" borderId="0" xfId="0" applyFont="1" applyFill="1" applyAlignment="1">
      <alignment vertical="center"/>
    </xf>
    <xf numFmtId="0" fontId="47" fillId="2" borderId="0" xfId="0" applyFont="1" applyFill="1" applyAlignment="1">
      <alignment horizontal="center" vertical="center"/>
    </xf>
    <xf numFmtId="2" fontId="47" fillId="2" borderId="0" xfId="0" applyNumberFormat="1" applyFont="1" applyFill="1" applyAlignment="1">
      <alignment horizontal="center" vertical="center"/>
    </xf>
    <xf numFmtId="0" fontId="21" fillId="2" borderId="0" xfId="2" applyFont="1" applyFill="1"/>
    <xf numFmtId="173" fontId="24" fillId="2" borderId="0" xfId="0" applyNumberFormat="1" applyFont="1" applyFill="1" applyAlignment="1">
      <alignment horizontal="left" vertical="center"/>
    </xf>
    <xf numFmtId="0" fontId="50" fillId="0" borderId="0" xfId="0" applyFont="1" applyAlignment="1">
      <alignment vertical="center"/>
    </xf>
    <xf numFmtId="9" fontId="41" fillId="2" borderId="0" xfId="1" applyFont="1" applyFill="1" applyAlignment="1">
      <alignment horizontal="right"/>
    </xf>
    <xf numFmtId="2" fontId="41" fillId="2" borderId="0" xfId="0" applyNumberFormat="1" applyFont="1" applyFill="1" applyAlignment="1">
      <alignment horizontal="left"/>
    </xf>
    <xf numFmtId="3" fontId="40" fillId="8" borderId="0" xfId="0" applyNumberFormat="1" applyFont="1" applyFill="1" applyAlignment="1">
      <alignment vertical="center"/>
    </xf>
    <xf numFmtId="0" fontId="19" fillId="2" borderId="0" xfId="0" applyFont="1" applyFill="1" applyAlignment="1">
      <alignment horizontal="left" vertical="center"/>
    </xf>
    <xf numFmtId="164" fontId="41" fillId="2" borderId="0" xfId="0" applyNumberFormat="1" applyFont="1" applyFill="1" applyAlignment="1">
      <alignment horizontal="right"/>
    </xf>
    <xf numFmtId="3" fontId="20" fillId="2" borderId="0" xfId="0" applyNumberFormat="1" applyFont="1" applyFill="1" applyAlignment="1">
      <alignment horizontal="center"/>
    </xf>
    <xf numFmtId="4" fontId="1" fillId="2" borderId="0" xfId="0" applyNumberFormat="1" applyFont="1" applyFill="1" applyAlignment="1">
      <alignment horizontal="center" vertical="center"/>
    </xf>
    <xf numFmtId="0" fontId="16" fillId="0" borderId="0" xfId="0" applyFont="1" applyAlignment="1">
      <alignment horizontal="center" vertical="center"/>
    </xf>
    <xf numFmtId="4" fontId="12" fillId="5" borderId="0" xfId="1" applyNumberFormat="1" applyFont="1" applyFill="1" applyAlignment="1">
      <alignment horizontal="center" vertical="center"/>
    </xf>
    <xf numFmtId="4" fontId="12" fillId="5" borderId="0" xfId="1" applyNumberFormat="1" applyFont="1" applyFill="1" applyBorder="1" applyAlignment="1">
      <alignment horizontal="center" vertical="center"/>
    </xf>
    <xf numFmtId="0" fontId="52" fillId="0" borderId="0" xfId="0" applyFont="1" applyAlignment="1">
      <alignment horizontal="center" vertical="center"/>
    </xf>
    <xf numFmtId="0" fontId="33" fillId="2" borderId="0" xfId="0" applyFont="1" applyFill="1" applyAlignment="1">
      <alignment horizontal="center" vertical="center"/>
    </xf>
    <xf numFmtId="9" fontId="12" fillId="2" borderId="0" xfId="0" applyNumberFormat="1" applyFont="1" applyFill="1"/>
    <xf numFmtId="0" fontId="42" fillId="2" borderId="0" xfId="0" applyFont="1" applyFill="1" applyAlignment="1">
      <alignment vertical="center"/>
    </xf>
    <xf numFmtId="0" fontId="53" fillId="2" borderId="0" xfId="0" applyFont="1" applyFill="1"/>
    <xf numFmtId="165" fontId="53" fillId="2" borderId="0" xfId="6" applyFont="1" applyFill="1"/>
    <xf numFmtId="0" fontId="42" fillId="2" borderId="0" xfId="0" applyFont="1" applyFill="1" applyAlignment="1">
      <alignment horizontal="left" vertical="center"/>
    </xf>
    <xf numFmtId="0" fontId="22" fillId="2" borderId="0" xfId="0" applyFont="1" applyFill="1" applyAlignment="1">
      <alignment wrapText="1"/>
    </xf>
    <xf numFmtId="0" fontId="22" fillId="2" borderId="0" xfId="0" applyFont="1" applyFill="1" applyAlignment="1">
      <alignment horizontal="center" wrapText="1"/>
    </xf>
    <xf numFmtId="3" fontId="12" fillId="2" borderId="0" xfId="0" applyNumberFormat="1" applyFont="1" applyFill="1" applyAlignment="1" applyProtection="1">
      <alignment horizontal="center" vertical="center"/>
      <protection locked="0"/>
    </xf>
    <xf numFmtId="3" fontId="20" fillId="2" borderId="0" xfId="0" applyNumberFormat="1" applyFont="1" applyFill="1" applyAlignment="1" applyProtection="1">
      <alignment horizontal="center" vertical="center"/>
      <protection locked="0"/>
    </xf>
    <xf numFmtId="0" fontId="24" fillId="2" borderId="0" xfId="0" quotePrefix="1" applyFont="1" applyFill="1" applyAlignment="1">
      <alignment vertical="center"/>
    </xf>
    <xf numFmtId="0" fontId="24" fillId="0" borderId="0" xfId="0" quotePrefix="1" applyFont="1" applyAlignment="1">
      <alignment vertical="center"/>
    </xf>
    <xf numFmtId="0" fontId="21" fillId="0" borderId="1" xfId="0" quotePrefix="1" applyFont="1" applyBorder="1" applyAlignment="1">
      <alignment vertical="center"/>
    </xf>
    <xf numFmtId="0" fontId="21" fillId="0" borderId="0" xfId="0" quotePrefix="1" applyFont="1" applyAlignment="1">
      <alignment vertical="center"/>
    </xf>
    <xf numFmtId="167" fontId="12" fillId="2" borderId="4" xfId="0" applyNumberFormat="1" applyFont="1" applyFill="1" applyBorder="1" applyAlignment="1">
      <alignment horizontal="center" vertical="center"/>
    </xf>
    <xf numFmtId="0" fontId="21" fillId="2" borderId="0" xfId="0" quotePrefix="1" applyFont="1" applyFill="1"/>
    <xf numFmtId="0" fontId="42" fillId="2" borderId="0" xfId="0" applyFont="1" applyFill="1" applyAlignment="1" applyProtection="1">
      <alignment vertical="center"/>
      <protection locked="0"/>
    </xf>
    <xf numFmtId="9" fontId="23" fillId="2" borderId="0" xfId="0" applyNumberFormat="1" applyFont="1" applyFill="1" applyAlignment="1">
      <alignment horizontal="center" vertical="center"/>
    </xf>
    <xf numFmtId="0" fontId="55" fillId="2" borderId="0" xfId="0" applyFont="1" applyFill="1" applyAlignment="1">
      <alignment horizontal="center" vertical="center"/>
    </xf>
    <xf numFmtId="0" fontId="55" fillId="2" borderId="0" xfId="0" applyFont="1" applyFill="1" applyAlignment="1">
      <alignment vertical="center"/>
    </xf>
    <xf numFmtId="2" fontId="55" fillId="2" borderId="0" xfId="0" applyNumberFormat="1" applyFont="1" applyFill="1" applyAlignment="1">
      <alignment horizontal="center" vertical="center"/>
    </xf>
    <xf numFmtId="2" fontId="55" fillId="2" borderId="0" xfId="1" applyNumberFormat="1" applyFont="1" applyFill="1" applyAlignment="1">
      <alignment horizontal="center" vertical="center"/>
    </xf>
    <xf numFmtId="2" fontId="55" fillId="2" borderId="0" xfId="4" applyNumberFormat="1" applyFont="1" applyFill="1" applyBorder="1" applyAlignment="1" applyProtection="1">
      <alignment horizontal="center" vertical="center"/>
      <protection locked="0"/>
    </xf>
    <xf numFmtId="0" fontId="57" fillId="2" borderId="0" xfId="0" applyFont="1" applyFill="1" applyAlignment="1">
      <alignment horizontal="center" vertical="center" wrapText="1"/>
    </xf>
    <xf numFmtId="0" fontId="54" fillId="2" borderId="0" xfId="0" applyFont="1" applyFill="1" applyAlignment="1">
      <alignment vertical="center" wrapText="1"/>
    </xf>
    <xf numFmtId="0" fontId="55" fillId="0" borderId="0" xfId="0" applyFont="1" applyAlignment="1">
      <alignment vertical="center"/>
    </xf>
    <xf numFmtId="169" fontId="55" fillId="2" borderId="0" xfId="0" applyNumberFormat="1" applyFont="1" applyFill="1" applyAlignment="1">
      <alignment horizontal="center" vertical="center"/>
    </xf>
    <xf numFmtId="174" fontId="55" fillId="2" borderId="0" xfId="4" applyNumberFormat="1" applyFont="1" applyFill="1" applyBorder="1" applyAlignment="1" applyProtection="1">
      <alignment horizontal="center" vertical="center"/>
      <protection locked="0"/>
    </xf>
    <xf numFmtId="174" fontId="55" fillId="2" borderId="0" xfId="0" applyNumberFormat="1" applyFont="1" applyFill="1" applyAlignment="1">
      <alignment horizontal="center" vertical="center" wrapText="1"/>
    </xf>
    <xf numFmtId="0" fontId="54" fillId="0" borderId="0" xfId="0" quotePrefix="1" applyFont="1" applyAlignment="1">
      <alignment vertical="center"/>
    </xf>
    <xf numFmtId="3" fontId="55" fillId="2" borderId="0" xfId="0" applyNumberFormat="1" applyFont="1" applyFill="1" applyAlignment="1">
      <alignment horizontal="center" vertical="center"/>
    </xf>
    <xf numFmtId="170" fontId="55" fillId="2" borderId="0" xfId="0" applyNumberFormat="1" applyFont="1" applyFill="1" applyAlignment="1">
      <alignment horizontal="center" vertical="center"/>
    </xf>
    <xf numFmtId="0" fontId="51" fillId="0" borderId="0" xfId="0" applyFont="1" applyAlignment="1">
      <alignment vertical="center"/>
    </xf>
    <xf numFmtId="169" fontId="55" fillId="2" borderId="0" xfId="4" applyNumberFormat="1" applyFont="1" applyFill="1" applyBorder="1" applyAlignment="1" applyProtection="1">
      <alignment horizontal="center" vertical="center"/>
      <protection locked="0"/>
    </xf>
    <xf numFmtId="0" fontId="55" fillId="0" borderId="5" xfId="0" applyFont="1" applyBorder="1" applyAlignment="1">
      <alignment vertical="center"/>
    </xf>
    <xf numFmtId="3" fontId="55" fillId="2" borderId="0" xfId="4" applyNumberFormat="1" applyFont="1" applyFill="1" applyBorder="1" applyAlignment="1">
      <alignment horizontal="center" vertical="center"/>
    </xf>
    <xf numFmtId="170" fontId="55" fillId="2" borderId="0" xfId="4" applyNumberFormat="1" applyFont="1" applyFill="1" applyBorder="1" applyAlignment="1">
      <alignment horizontal="center" vertical="center"/>
    </xf>
    <xf numFmtId="3" fontId="55" fillId="2" borderId="0" xfId="5" applyNumberFormat="1" applyFont="1" applyFill="1" applyAlignment="1">
      <alignment horizontal="center" vertical="center"/>
    </xf>
    <xf numFmtId="0" fontId="55" fillId="2" borderId="0" xfId="0" applyFont="1" applyFill="1"/>
    <xf numFmtId="174" fontId="55" fillId="2" borderId="0" xfId="0" applyNumberFormat="1" applyFont="1" applyFill="1" applyAlignment="1">
      <alignment horizontal="center" vertical="center"/>
    </xf>
    <xf numFmtId="0" fontId="58" fillId="0" borderId="0" xfId="0" applyFont="1" applyAlignment="1">
      <alignment horizontal="left" vertical="center"/>
    </xf>
    <xf numFmtId="0" fontId="54" fillId="2" borderId="0" xfId="0" quotePrefix="1" applyFont="1" applyFill="1" applyAlignment="1">
      <alignment vertical="center"/>
    </xf>
    <xf numFmtId="0" fontId="55" fillId="2" borderId="0" xfId="0" applyFont="1" applyFill="1" applyAlignment="1">
      <alignment horizontal="center"/>
    </xf>
    <xf numFmtId="0" fontId="54" fillId="2" borderId="0" xfId="0" quotePrefix="1" applyFont="1" applyFill="1"/>
    <xf numFmtId="167" fontId="12" fillId="2" borderId="0" xfId="0" applyNumberFormat="1" applyFont="1" applyFill="1"/>
    <xf numFmtId="0" fontId="32" fillId="2" borderId="0" xfId="0" applyFont="1" applyFill="1" applyAlignment="1">
      <alignment horizontal="center"/>
    </xf>
    <xf numFmtId="0" fontId="36" fillId="2" borderId="0" xfId="0" applyFont="1" applyFill="1" applyAlignment="1">
      <alignment horizontal="center"/>
    </xf>
    <xf numFmtId="4" fontId="34" fillId="2" borderId="0" xfId="0" applyNumberFormat="1" applyFont="1" applyFill="1" applyAlignment="1">
      <alignment horizontal="center"/>
    </xf>
    <xf numFmtId="2" fontId="42" fillId="2" borderId="0" xfId="0" applyNumberFormat="1" applyFont="1" applyFill="1" applyAlignment="1">
      <alignment horizontal="left" vertical="center"/>
    </xf>
    <xf numFmtId="0" fontId="20" fillId="0" borderId="0" xfId="0" applyFont="1" applyAlignment="1">
      <alignment horizontal="right" vertical="center" wrapText="1"/>
    </xf>
    <xf numFmtId="0" fontId="54" fillId="0" borderId="1" xfId="0" quotePrefix="1" applyFont="1" applyBorder="1" applyAlignment="1">
      <alignment vertical="center"/>
    </xf>
    <xf numFmtId="2" fontId="55" fillId="2" borderId="0" xfId="4" applyNumberFormat="1" applyFont="1" applyFill="1" applyBorder="1" applyAlignment="1">
      <alignment horizontal="center" vertical="center"/>
    </xf>
    <xf numFmtId="0" fontId="55" fillId="2" borderId="0" xfId="4" applyFont="1" applyFill="1" applyBorder="1" applyAlignment="1">
      <alignment horizontal="right" vertical="center"/>
    </xf>
    <xf numFmtId="9" fontId="55" fillId="2" borderId="0" xfId="4" applyNumberFormat="1" applyFont="1" applyFill="1" applyBorder="1" applyAlignment="1">
      <alignment horizontal="center" vertical="center"/>
    </xf>
    <xf numFmtId="0" fontId="16" fillId="2" borderId="0" xfId="0" applyFont="1" applyFill="1" applyAlignment="1">
      <alignment horizontal="left" vertical="center"/>
    </xf>
    <xf numFmtId="3" fontId="55" fillId="2" borderId="0" xfId="0" applyNumberFormat="1" applyFont="1" applyFill="1" applyAlignment="1" applyProtection="1">
      <alignment horizontal="center" vertical="center"/>
      <protection locked="0"/>
    </xf>
    <xf numFmtId="0" fontId="59" fillId="2" borderId="0" xfId="0" applyFont="1" applyFill="1"/>
    <xf numFmtId="0" fontId="41" fillId="3" borderId="0" xfId="0" applyFont="1" applyFill="1"/>
    <xf numFmtId="0" fontId="20" fillId="3" borderId="0" xfId="0" applyFont="1" applyFill="1"/>
    <xf numFmtId="0" fontId="59" fillId="3" borderId="0" xfId="0" applyFont="1" applyFill="1"/>
    <xf numFmtId="164" fontId="59" fillId="3" borderId="0" xfId="0" applyNumberFormat="1" applyFont="1" applyFill="1" applyAlignment="1">
      <alignment horizontal="right"/>
    </xf>
    <xf numFmtId="9" fontId="59" fillId="3" borderId="0" xfId="1" applyFont="1" applyFill="1" applyAlignment="1">
      <alignment horizontal="right"/>
    </xf>
    <xf numFmtId="1" fontId="59" fillId="3" borderId="0" xfId="0" applyNumberFormat="1" applyFont="1" applyFill="1" applyAlignment="1">
      <alignment horizontal="right"/>
    </xf>
    <xf numFmtId="0" fontId="60" fillId="2" borderId="0" xfId="0" applyFont="1" applyFill="1"/>
    <xf numFmtId="0" fontId="0" fillId="2" borderId="2" xfId="0" applyFill="1" applyBorder="1"/>
    <xf numFmtId="0" fontId="30" fillId="2" borderId="0" xfId="0" applyFont="1" applyFill="1" applyAlignment="1">
      <alignment horizontal="center"/>
    </xf>
    <xf numFmtId="0" fontId="61" fillId="2" borderId="5" xfId="0" applyFont="1" applyFill="1" applyBorder="1" applyAlignment="1">
      <alignment vertical="center"/>
    </xf>
    <xf numFmtId="9" fontId="61" fillId="2" borderId="0" xfId="0" applyNumberFormat="1" applyFont="1" applyFill="1" applyAlignment="1">
      <alignment horizontal="center" vertical="center"/>
    </xf>
    <xf numFmtId="0" fontId="61" fillId="2" borderId="0" xfId="0" applyFont="1" applyFill="1" applyAlignment="1">
      <alignment vertical="center"/>
    </xf>
    <xf numFmtId="0" fontId="42" fillId="2" borderId="0" xfId="0" applyFont="1" applyFill="1"/>
    <xf numFmtId="0" fontId="42" fillId="0" borderId="0" xfId="0" applyFont="1"/>
    <xf numFmtId="0" fontId="42" fillId="2" borderId="0" xfId="0" applyFont="1" applyFill="1" applyAlignment="1">
      <alignment horizontal="right"/>
    </xf>
    <xf numFmtId="165" fontId="62" fillId="2" borderId="0" xfId="6" applyFont="1" applyFill="1"/>
    <xf numFmtId="0" fontId="62" fillId="0" borderId="0" xfId="0" applyFont="1"/>
    <xf numFmtId="0" fontId="40" fillId="2" borderId="0" xfId="0" applyFont="1" applyFill="1"/>
    <xf numFmtId="0" fontId="42" fillId="2" borderId="0" xfId="0" applyFont="1" applyFill="1" applyAlignment="1">
      <alignment horizontal="center"/>
    </xf>
    <xf numFmtId="0" fontId="63" fillId="2" borderId="0" xfId="0" applyFont="1" applyFill="1"/>
    <xf numFmtId="0" fontId="63" fillId="2" borderId="0" xfId="0" applyFont="1" applyFill="1" applyAlignment="1">
      <alignment horizontal="center"/>
    </xf>
    <xf numFmtId="0" fontId="20" fillId="2" borderId="0" xfId="0" applyFont="1" applyFill="1" applyAlignment="1">
      <alignment horizontal="left" vertical="center" wrapText="1"/>
    </xf>
    <xf numFmtId="0" fontId="32" fillId="2" borderId="0" xfId="0" applyFont="1" applyFill="1" applyAlignment="1">
      <alignment vertical="center"/>
    </xf>
    <xf numFmtId="0" fontId="32" fillId="2" borderId="0" xfId="0" applyFont="1" applyFill="1" applyAlignment="1">
      <alignment horizontal="left" vertical="center"/>
    </xf>
    <xf numFmtId="0" fontId="64" fillId="2" borderId="0" xfId="0" applyFont="1" applyFill="1"/>
    <xf numFmtId="0" fontId="64" fillId="2" borderId="0" xfId="0" applyFont="1" applyFill="1" applyAlignment="1">
      <alignment vertical="center"/>
    </xf>
    <xf numFmtId="0" fontId="64" fillId="0" borderId="0" xfId="0" applyFont="1" applyAlignment="1">
      <alignment vertical="center"/>
    </xf>
    <xf numFmtId="0" fontId="0" fillId="8" borderId="0" xfId="0" applyFill="1"/>
    <xf numFmtId="0" fontId="20" fillId="2" borderId="0" xfId="0" applyFont="1" applyFill="1" applyAlignment="1">
      <alignment horizontal="right" vertical="center"/>
    </xf>
    <xf numFmtId="177" fontId="55" fillId="2" borderId="0" xfId="5" applyNumberFormat="1" applyFont="1" applyFill="1" applyAlignment="1">
      <alignment horizontal="center" vertical="center"/>
    </xf>
    <xf numFmtId="0" fontId="12" fillId="9" borderId="0" xfId="0" applyFont="1" applyFill="1" applyAlignment="1" applyProtection="1">
      <alignment vertical="center"/>
      <protection locked="0"/>
    </xf>
    <xf numFmtId="0" fontId="65" fillId="2" borderId="0" xfId="0" applyFont="1" applyFill="1"/>
    <xf numFmtId="3" fontId="12" fillId="9" borderId="0" xfId="0" applyNumberFormat="1" applyFont="1" applyFill="1" applyAlignment="1" applyProtection="1">
      <alignment horizontal="center" vertical="center"/>
      <protection locked="0"/>
    </xf>
    <xf numFmtId="2" fontId="12" fillId="9" borderId="0" xfId="0" applyNumberFormat="1" applyFont="1" applyFill="1" applyAlignment="1" applyProtection="1">
      <alignment horizontal="center" vertical="center"/>
      <protection locked="0"/>
    </xf>
    <xf numFmtId="0" fontId="16" fillId="0" borderId="0" xfId="0" applyFont="1" applyAlignment="1">
      <alignment vertical="center"/>
    </xf>
    <xf numFmtId="2" fontId="20" fillId="9" borderId="0" xfId="0" applyNumberFormat="1" applyFont="1" applyFill="1" applyAlignment="1" applyProtection="1">
      <alignment horizontal="center" vertical="center"/>
      <protection locked="0"/>
    </xf>
    <xf numFmtId="0" fontId="41" fillId="2" borderId="0" xfId="0" applyFont="1" applyFill="1" applyAlignment="1">
      <alignment horizontal="left" vertical="center"/>
    </xf>
    <xf numFmtId="0" fontId="69" fillId="2" borderId="1" xfId="0" applyFont="1" applyFill="1" applyBorder="1" applyAlignment="1">
      <alignment vertical="center"/>
    </xf>
    <xf numFmtId="0" fontId="66" fillId="10" borderId="11" xfId="0" applyFont="1" applyFill="1" applyBorder="1" applyAlignment="1">
      <alignment horizontal="center"/>
    </xf>
    <xf numFmtId="164" fontId="69" fillId="2" borderId="13" xfId="0" applyNumberFormat="1" applyFont="1" applyFill="1" applyBorder="1" applyAlignment="1">
      <alignment vertical="center"/>
    </xf>
    <xf numFmtId="164" fontId="68" fillId="2" borderId="12" xfId="0" applyNumberFormat="1" applyFont="1" applyFill="1" applyBorder="1" applyAlignment="1">
      <alignment horizontal="center" vertical="center"/>
    </xf>
    <xf numFmtId="0" fontId="69" fillId="2" borderId="0" xfId="0" applyFont="1" applyFill="1" applyAlignment="1">
      <alignment vertical="center"/>
    </xf>
    <xf numFmtId="0" fontId="67" fillId="10" borderId="11" xfId="0" applyFont="1" applyFill="1" applyBorder="1" applyAlignment="1">
      <alignment horizontal="center"/>
    </xf>
    <xf numFmtId="0" fontId="67" fillId="2" borderId="0" xfId="0" applyFont="1" applyFill="1"/>
    <xf numFmtId="0" fontId="22" fillId="2" borderId="0" xfId="0" applyFont="1" applyFill="1" applyAlignment="1">
      <alignment vertical="center"/>
    </xf>
    <xf numFmtId="0" fontId="23" fillId="2" borderId="0" xfId="0" applyFont="1" applyFill="1"/>
    <xf numFmtId="0" fontId="71" fillId="2" borderId="0" xfId="0" applyFont="1" applyFill="1"/>
    <xf numFmtId="0" fontId="68" fillId="2" borderId="0" xfId="0" applyFont="1" applyFill="1"/>
    <xf numFmtId="0" fontId="72" fillId="2" borderId="0" xfId="0" applyFont="1" applyFill="1"/>
    <xf numFmtId="0" fontId="5" fillId="9" borderId="0" xfId="0" applyFont="1" applyFill="1" applyAlignment="1">
      <alignment horizontal="left" vertical="center"/>
    </xf>
    <xf numFmtId="0" fontId="73" fillId="2" borderId="0" xfId="0" applyFont="1" applyFill="1" applyAlignment="1">
      <alignment horizontal="left" vertical="center"/>
    </xf>
    <xf numFmtId="0" fontId="70" fillId="2" borderId="0" xfId="0" applyFont="1" applyFill="1"/>
    <xf numFmtId="0" fontId="74" fillId="2" borderId="0" xfId="0" applyFont="1" applyFill="1"/>
    <xf numFmtId="0" fontId="75" fillId="0" borderId="0" xfId="0" applyFont="1" applyAlignment="1">
      <alignment horizontal="left" vertical="top" wrapText="1"/>
    </xf>
    <xf numFmtId="0" fontId="12" fillId="2" borderId="2" xfId="0" applyFont="1" applyFill="1" applyBorder="1" applyAlignment="1">
      <alignment horizontal="left" vertical="center"/>
    </xf>
    <xf numFmtId="0" fontId="76" fillId="8" borderId="0" xfId="0" applyFont="1" applyFill="1" applyAlignment="1">
      <alignment horizontal="left" vertical="center"/>
    </xf>
    <xf numFmtId="0" fontId="20" fillId="2" borderId="2" xfId="0" applyFont="1" applyFill="1" applyBorder="1" applyAlignment="1">
      <alignment horizontal="left" vertical="center"/>
    </xf>
    <xf numFmtId="0" fontId="20" fillId="2" borderId="0" xfId="0" applyFont="1" applyFill="1" applyAlignment="1">
      <alignment horizontal="center" vertical="center" wrapText="1"/>
    </xf>
    <xf numFmtId="4" fontId="12" fillId="2" borderId="0" xfId="1" applyNumberFormat="1" applyFont="1" applyFill="1" applyBorder="1" applyAlignment="1">
      <alignment horizontal="center" vertical="center"/>
    </xf>
    <xf numFmtId="0" fontId="52" fillId="2" borderId="0" xfId="0" applyFont="1" applyFill="1" applyAlignment="1">
      <alignment horizontal="center" vertical="center"/>
    </xf>
    <xf numFmtId="4" fontId="12" fillId="2" borderId="0" xfId="0" applyNumberFormat="1" applyFont="1" applyFill="1" applyAlignment="1">
      <alignment horizontal="center" vertical="center"/>
    </xf>
    <xf numFmtId="0" fontId="20" fillId="2" borderId="0" xfId="0" applyFont="1" applyFill="1" applyAlignment="1">
      <alignment horizontal="right" vertical="center" wrapText="1"/>
    </xf>
    <xf numFmtId="0" fontId="55" fillId="2" borderId="0" xfId="0" applyFont="1" applyFill="1" applyAlignment="1">
      <alignment vertical="center" wrapText="1"/>
    </xf>
    <xf numFmtId="3" fontId="20" fillId="2" borderId="0" xfId="0" applyNumberFormat="1" applyFont="1" applyFill="1" applyAlignment="1">
      <alignment horizontal="left" vertical="center"/>
    </xf>
    <xf numFmtId="0" fontId="32" fillId="2" borderId="0" xfId="0" applyFont="1" applyFill="1" applyAlignment="1" applyProtection="1">
      <alignment horizontal="left" vertical="center"/>
      <protection hidden="1"/>
    </xf>
    <xf numFmtId="0" fontId="12" fillId="5" borderId="0" xfId="0" applyFont="1" applyFill="1" applyAlignment="1" applyProtection="1">
      <alignment vertical="center"/>
      <protection locked="0"/>
    </xf>
    <xf numFmtId="0" fontId="20" fillId="5" borderId="0" xfId="0" applyFont="1" applyFill="1" applyAlignment="1">
      <alignment vertical="center"/>
    </xf>
    <xf numFmtId="0" fontId="12" fillId="5" borderId="0" xfId="0" applyFont="1" applyFill="1" applyAlignment="1">
      <alignment vertical="center"/>
    </xf>
    <xf numFmtId="0" fontId="54" fillId="2" borderId="0" xfId="0" applyFont="1" applyFill="1" applyAlignment="1">
      <alignment vertical="center"/>
    </xf>
    <xf numFmtId="3" fontId="54" fillId="2" borderId="0" xfId="0" applyNumberFormat="1" applyFont="1" applyFill="1" applyAlignment="1" applyProtection="1">
      <alignment horizontal="center" vertical="center"/>
      <protection locked="0"/>
    </xf>
    <xf numFmtId="2" fontId="12" fillId="2" borderId="0" xfId="0" applyNumberFormat="1" applyFont="1" applyFill="1" applyAlignment="1" applyProtection="1">
      <alignment horizontal="center" vertical="center"/>
      <protection locked="0"/>
    </xf>
    <xf numFmtId="9" fontId="20" fillId="2" borderId="0" xfId="4" applyNumberFormat="1" applyFont="1" applyFill="1" applyBorder="1" applyAlignment="1">
      <alignment horizontal="center" vertical="center"/>
    </xf>
    <xf numFmtId="3" fontId="12" fillId="5" borderId="0" xfId="5" applyNumberFormat="1" applyFont="1" applyFill="1" applyAlignment="1">
      <alignment horizontal="center" vertical="center"/>
    </xf>
    <xf numFmtId="3" fontId="54" fillId="5" borderId="0" xfId="5" applyNumberFormat="1" applyFont="1" applyFill="1" applyAlignment="1">
      <alignment horizontal="center" vertical="center"/>
    </xf>
    <xf numFmtId="168" fontId="30" fillId="12" borderId="0" xfId="0" applyNumberFormat="1" applyFont="1" applyFill="1" applyAlignment="1">
      <alignment horizontal="center" vertical="center"/>
    </xf>
    <xf numFmtId="0" fontId="20" fillId="5" borderId="0" xfId="0" applyFont="1" applyFill="1" applyAlignment="1">
      <alignment horizontal="center" vertical="center"/>
    </xf>
    <xf numFmtId="2" fontId="20" fillId="5" borderId="0" xfId="0" applyNumberFormat="1" applyFont="1" applyFill="1" applyAlignment="1">
      <alignment horizontal="center" vertical="center"/>
    </xf>
    <xf numFmtId="9" fontId="20" fillId="5" borderId="0" xfId="1" applyFont="1" applyFill="1" applyAlignment="1">
      <alignment horizontal="center" vertical="center"/>
    </xf>
    <xf numFmtId="2" fontId="20" fillId="2" borderId="0" xfId="0" applyNumberFormat="1" applyFont="1" applyFill="1" applyAlignment="1" applyProtection="1">
      <alignment horizontal="center" vertical="center"/>
      <protection locked="0"/>
    </xf>
    <xf numFmtId="2" fontId="20" fillId="2" borderId="0" xfId="4" applyNumberFormat="1" applyFont="1" applyFill="1" applyBorder="1" applyAlignment="1" applyProtection="1">
      <alignment horizontal="center" vertical="center"/>
      <protection locked="0"/>
    </xf>
    <xf numFmtId="174" fontId="20" fillId="2" borderId="0" xfId="4" applyNumberFormat="1" applyFont="1" applyFill="1" applyBorder="1" applyAlignment="1" applyProtection="1">
      <alignment horizontal="center" vertical="center"/>
      <protection locked="0"/>
    </xf>
    <xf numFmtId="169" fontId="20" fillId="2" borderId="0" xfId="4" applyNumberFormat="1" applyFont="1" applyFill="1" applyBorder="1" applyAlignment="1" applyProtection="1">
      <alignment horizontal="center" vertical="center"/>
      <protection locked="0"/>
    </xf>
    <xf numFmtId="4" fontId="12" fillId="2" borderId="0" xfId="0" applyNumberFormat="1" applyFont="1" applyFill="1" applyAlignment="1" applyProtection="1">
      <alignment horizontal="center" vertical="center"/>
      <protection locked="0"/>
    </xf>
    <xf numFmtId="0" fontId="32" fillId="2" borderId="0" xfId="0" applyFont="1" applyFill="1" applyAlignment="1">
      <alignment horizontal="center" vertical="center"/>
    </xf>
    <xf numFmtId="0" fontId="20" fillId="6" borderId="0" xfId="0" applyFont="1" applyFill="1" applyAlignment="1">
      <alignment vertical="center"/>
    </xf>
    <xf numFmtId="10" fontId="20" fillId="7" borderId="0" xfId="0" applyNumberFormat="1" applyFont="1" applyFill="1" applyAlignment="1">
      <alignment horizontal="center" vertical="center"/>
    </xf>
    <xf numFmtId="168" fontId="20" fillId="7" borderId="0" xfId="0" applyNumberFormat="1" applyFont="1" applyFill="1" applyAlignment="1">
      <alignment horizontal="center" vertical="center"/>
    </xf>
    <xf numFmtId="9" fontId="20" fillId="7" borderId="0" xfId="0" applyNumberFormat="1" applyFont="1" applyFill="1" applyAlignment="1">
      <alignment horizontal="center" vertical="center"/>
    </xf>
    <xf numFmtId="10" fontId="20" fillId="5" borderId="0" xfId="0" applyNumberFormat="1" applyFont="1" applyFill="1" applyAlignment="1">
      <alignment horizontal="center" vertical="center"/>
    </xf>
    <xf numFmtId="0" fontId="20" fillId="2" borderId="0" xfId="0" applyFont="1" applyFill="1" applyAlignment="1">
      <alignment horizontal="left"/>
    </xf>
    <xf numFmtId="0" fontId="20" fillId="0" borderId="0" xfId="0" applyFont="1" applyAlignment="1">
      <alignment horizontal="center" vertical="center"/>
    </xf>
    <xf numFmtId="0" fontId="20" fillId="2" borderId="0" xfId="0" applyFont="1" applyFill="1" applyAlignment="1">
      <alignment vertical="center" wrapText="1"/>
    </xf>
    <xf numFmtId="172" fontId="20" fillId="2" borderId="0" xfId="0" applyNumberFormat="1" applyFont="1" applyFill="1" applyAlignment="1">
      <alignment horizontal="center" vertical="center" wrapText="1"/>
    </xf>
    <xf numFmtId="0" fontId="20" fillId="5" borderId="0" xfId="0" applyFont="1" applyFill="1" applyAlignment="1">
      <alignment horizontal="center" vertical="center" wrapText="1"/>
    </xf>
    <xf numFmtId="9" fontId="20" fillId="5" borderId="0" xfId="1" applyFont="1" applyFill="1" applyBorder="1" applyAlignment="1">
      <alignment horizontal="center" vertical="center"/>
    </xf>
    <xf numFmtId="3" fontId="20" fillId="5" borderId="0" xfId="0" applyNumberFormat="1" applyFont="1" applyFill="1" applyAlignment="1">
      <alignment horizontal="center" vertical="center"/>
    </xf>
    <xf numFmtId="176" fontId="20" fillId="5" borderId="0" xfId="5" applyNumberFormat="1" applyFont="1" applyFill="1" applyAlignment="1">
      <alignment horizontal="center" vertical="center"/>
    </xf>
    <xf numFmtId="172" fontId="20" fillId="5" borderId="0" xfId="0" applyNumberFormat="1" applyFont="1" applyFill="1" applyAlignment="1">
      <alignment horizontal="center" vertical="center"/>
    </xf>
    <xf numFmtId="171" fontId="20" fillId="5" borderId="0" xfId="0" applyNumberFormat="1" applyFont="1" applyFill="1" applyAlignment="1">
      <alignment horizontal="center" vertical="center"/>
    </xf>
    <xf numFmtId="9" fontId="20" fillId="2" borderId="0" xfId="1" applyFont="1" applyFill="1" applyBorder="1" applyAlignment="1">
      <alignment horizontal="center" vertical="center"/>
    </xf>
    <xf numFmtId="175" fontId="20" fillId="2" borderId="0" xfId="5" applyNumberFormat="1" applyFont="1" applyFill="1" applyAlignment="1">
      <alignment horizontal="center" vertical="center"/>
    </xf>
    <xf numFmtId="2" fontId="20" fillId="2" borderId="0" xfId="0" applyNumberFormat="1" applyFont="1" applyFill="1" applyAlignment="1">
      <alignment horizontal="center" vertical="center"/>
    </xf>
    <xf numFmtId="170" fontId="20" fillId="2" borderId="0" xfId="0" applyNumberFormat="1" applyFont="1" applyFill="1" applyAlignment="1">
      <alignment horizontal="center" vertical="center" wrapText="1"/>
    </xf>
    <xf numFmtId="170" fontId="20" fillId="2" borderId="0" xfId="0" applyNumberFormat="1" applyFont="1" applyFill="1" applyAlignment="1">
      <alignment horizontal="center" vertical="center"/>
    </xf>
    <xf numFmtId="0" fontId="23" fillId="2" borderId="0" xfId="0" applyFont="1" applyFill="1" applyAlignment="1">
      <alignment horizontal="left" vertical="center" wrapText="1"/>
    </xf>
    <xf numFmtId="175" fontId="20" fillId="5" borderId="0" xfId="5" applyNumberFormat="1" applyFont="1" applyFill="1" applyAlignment="1">
      <alignment horizontal="center" vertical="center"/>
    </xf>
    <xf numFmtId="10" fontId="20" fillId="2" borderId="0" xfId="4" applyNumberFormat="1" applyFont="1" applyFill="1" applyBorder="1" applyAlignment="1" applyProtection="1">
      <alignment horizontal="center" vertical="center"/>
      <protection locked="0"/>
    </xf>
    <xf numFmtId="178" fontId="0" fillId="2" borderId="0" xfId="0" applyNumberFormat="1" applyFill="1"/>
    <xf numFmtId="0" fontId="10" fillId="13" borderId="0" xfId="0" applyFont="1" applyFill="1"/>
    <xf numFmtId="0" fontId="0" fillId="13" borderId="0" xfId="0" applyFill="1"/>
    <xf numFmtId="0" fontId="78" fillId="2" borderId="0" xfId="0" applyFont="1" applyFill="1" applyAlignment="1">
      <alignment horizontal="left" vertical="center"/>
    </xf>
    <xf numFmtId="0" fontId="79" fillId="2" borderId="0" xfId="2" applyFont="1" applyFill="1" applyAlignment="1">
      <alignment vertical="center"/>
    </xf>
    <xf numFmtId="2" fontId="20" fillId="5" borderId="0" xfId="4" applyNumberFormat="1" applyFont="1" applyFill="1" applyBorder="1" applyAlignment="1">
      <alignment horizontal="center" vertical="center"/>
    </xf>
    <xf numFmtId="3" fontId="12" fillId="2" borderId="0" xfId="0" applyNumberFormat="1" applyFont="1" applyFill="1" applyAlignment="1">
      <alignment vertical="center"/>
    </xf>
    <xf numFmtId="2" fontId="20" fillId="0" borderId="0" xfId="0" applyNumberFormat="1" applyFont="1" applyAlignment="1">
      <alignment vertical="center"/>
    </xf>
    <xf numFmtId="10" fontId="12" fillId="5" borderId="0" xfId="0" applyNumberFormat="1" applyFont="1" applyFill="1" applyAlignment="1">
      <alignment horizontal="center" vertical="center"/>
    </xf>
    <xf numFmtId="0" fontId="52" fillId="2" borderId="0" xfId="0" applyFont="1" applyFill="1" applyAlignment="1">
      <alignment wrapText="1"/>
    </xf>
    <xf numFmtId="0" fontId="80" fillId="2" borderId="0" xfId="0" applyFont="1" applyFill="1"/>
    <xf numFmtId="4" fontId="55" fillId="2" borderId="0" xfId="5" applyNumberFormat="1" applyFont="1" applyFill="1" applyAlignment="1">
      <alignment horizontal="center" vertical="center"/>
    </xf>
    <xf numFmtId="166" fontId="12" fillId="5" borderId="0" xfId="0" applyNumberFormat="1" applyFont="1" applyFill="1" applyAlignment="1">
      <alignment vertical="center"/>
    </xf>
    <xf numFmtId="3" fontId="12" fillId="14" borderId="0" xfId="0" applyNumberFormat="1" applyFont="1" applyFill="1" applyAlignment="1" applyProtection="1">
      <alignment horizontal="center" vertical="center"/>
      <protection locked="0"/>
    </xf>
    <xf numFmtId="0" fontId="79" fillId="2" borderId="0" xfId="0" applyFont="1" applyFill="1"/>
    <xf numFmtId="0" fontId="81" fillId="0" borderId="0" xfId="0" applyFont="1" applyAlignment="1">
      <alignment vertical="center" wrapText="1"/>
    </xf>
    <xf numFmtId="0" fontId="81" fillId="0" borderId="0" xfId="0" applyFont="1" applyAlignment="1">
      <alignment vertical="top" wrapText="1"/>
    </xf>
    <xf numFmtId="0" fontId="5" fillId="8" borderId="0" xfId="0" applyFont="1" applyFill="1" applyAlignment="1">
      <alignment horizontal="center" vertical="center"/>
    </xf>
    <xf numFmtId="0" fontId="0" fillId="8" borderId="0" xfId="0" applyFill="1" applyAlignment="1">
      <alignment horizontal="center"/>
    </xf>
    <xf numFmtId="0" fontId="0" fillId="2" borderId="0" xfId="0" applyFill="1" applyAlignment="1">
      <alignment horizontal="center"/>
    </xf>
    <xf numFmtId="0" fontId="0" fillId="2" borderId="2" xfId="0" applyFill="1" applyBorder="1" applyAlignment="1">
      <alignment horizontal="center"/>
    </xf>
    <xf numFmtId="0" fontId="0" fillId="0" borderId="0" xfId="0" applyAlignment="1">
      <alignment horizontal="center"/>
    </xf>
    <xf numFmtId="0" fontId="51" fillId="2" borderId="0" xfId="0" applyFont="1" applyFill="1"/>
    <xf numFmtId="10" fontId="30" fillId="11" borderId="0" xfId="0" applyNumberFormat="1" applyFont="1" applyFill="1" applyAlignment="1" applyProtection="1">
      <alignment horizontal="center" vertical="center"/>
      <protection locked="0"/>
    </xf>
    <xf numFmtId="168" fontId="30" fillId="11" borderId="0" xfId="0" applyNumberFormat="1" applyFont="1" applyFill="1" applyAlignment="1" applyProtection="1">
      <alignment horizontal="center" vertical="center"/>
      <protection locked="0"/>
    </xf>
    <xf numFmtId="9" fontId="30" fillId="11" borderId="0" xfId="0" applyNumberFormat="1" applyFont="1" applyFill="1" applyAlignment="1" applyProtection="1">
      <alignment horizontal="center" vertical="center"/>
      <protection locked="0"/>
    </xf>
    <xf numFmtId="0" fontId="20" fillId="9" borderId="0" xfId="0" applyFont="1" applyFill="1" applyAlignment="1" applyProtection="1">
      <alignment vertical="center"/>
      <protection locked="0"/>
    </xf>
    <xf numFmtId="0" fontId="0" fillId="9" borderId="0" xfId="0" applyFill="1" applyProtection="1">
      <protection locked="0"/>
    </xf>
    <xf numFmtId="0" fontId="28" fillId="9" borderId="0" xfId="0" applyFont="1" applyFill="1"/>
    <xf numFmtId="3" fontId="30" fillId="9" borderId="0" xfId="0" applyNumberFormat="1" applyFont="1" applyFill="1"/>
    <xf numFmtId="3" fontId="20" fillId="9" borderId="0" xfId="0" applyNumberFormat="1" applyFont="1" applyFill="1" applyAlignment="1">
      <alignment horizontal="center"/>
    </xf>
    <xf numFmtId="3" fontId="20" fillId="9" borderId="0" xfId="0" applyNumberFormat="1" applyFont="1" applyFill="1"/>
    <xf numFmtId="0" fontId="12" fillId="9" borderId="0" xfId="0" applyFont="1" applyFill="1"/>
    <xf numFmtId="3" fontId="12" fillId="9" borderId="0" xfId="0" applyNumberFormat="1" applyFont="1" applyFill="1" applyAlignment="1">
      <alignment horizontal="right"/>
    </xf>
    <xf numFmtId="3" fontId="12" fillId="9" borderId="0" xfId="0" applyNumberFormat="1" applyFont="1" applyFill="1"/>
    <xf numFmtId="0" fontId="32" fillId="9" borderId="0" xfId="0" applyFont="1" applyFill="1" applyAlignment="1">
      <alignment horizontal="center"/>
    </xf>
    <xf numFmtId="0" fontId="83" fillId="2" borderId="0" xfId="0" applyFont="1" applyFill="1"/>
    <xf numFmtId="0" fontId="84" fillId="2" borderId="0" xfId="0" applyFont="1" applyFill="1"/>
    <xf numFmtId="0" fontId="39" fillId="2" borderId="0" xfId="0" applyFont="1" applyFill="1"/>
    <xf numFmtId="3" fontId="12" fillId="5" borderId="0" xfId="0" applyNumberFormat="1" applyFont="1" applyFill="1" applyAlignment="1">
      <alignment horizontal="center" vertical="center"/>
    </xf>
    <xf numFmtId="0" fontId="12" fillId="2" borderId="0" xfId="0" applyFont="1" applyFill="1" applyAlignment="1">
      <alignment horizontal="left" vertical="center" wrapText="1"/>
    </xf>
    <xf numFmtId="169" fontId="0" fillId="2" borderId="0" xfId="0" applyNumberFormat="1" applyFill="1"/>
    <xf numFmtId="2" fontId="0" fillId="2" borderId="0" xfId="0" applyNumberFormat="1" applyFill="1"/>
    <xf numFmtId="2" fontId="70" fillId="2" borderId="0" xfId="0" applyNumberFormat="1" applyFont="1" applyFill="1"/>
    <xf numFmtId="1" fontId="70" fillId="2" borderId="0" xfId="0" applyNumberFormat="1" applyFont="1" applyFill="1"/>
    <xf numFmtId="169" fontId="70" fillId="2" borderId="0" xfId="0" applyNumberFormat="1" applyFont="1" applyFill="1"/>
    <xf numFmtId="1" fontId="0" fillId="2" borderId="0" xfId="0" applyNumberFormat="1" applyFill="1"/>
    <xf numFmtId="0" fontId="71" fillId="2" borderId="0" xfId="0" applyFont="1" applyFill="1" applyAlignment="1">
      <alignment vertical="center"/>
    </xf>
    <xf numFmtId="0" fontId="71" fillId="2" borderId="0" xfId="0" applyFont="1" applyFill="1" applyAlignment="1">
      <alignment wrapText="1"/>
    </xf>
    <xf numFmtId="2" fontId="41" fillId="2" borderId="0" xfId="0" applyNumberFormat="1" applyFont="1" applyFill="1" applyAlignment="1">
      <alignment horizontal="right"/>
    </xf>
    <xf numFmtId="0" fontId="19" fillId="0" borderId="0" xfId="0" applyFont="1"/>
    <xf numFmtId="165" fontId="85" fillId="2" borderId="0" xfId="6" applyFont="1" applyFill="1"/>
    <xf numFmtId="0" fontId="85" fillId="0" borderId="0" xfId="0" applyFont="1"/>
    <xf numFmtId="4" fontId="20" fillId="2" borderId="0" xfId="0" applyNumberFormat="1" applyFont="1" applyFill="1" applyAlignment="1">
      <alignment vertical="center"/>
    </xf>
    <xf numFmtId="0" fontId="66" fillId="10" borderId="6" xfId="0" applyFont="1" applyFill="1" applyBorder="1" applyAlignment="1">
      <alignment horizontal="center"/>
    </xf>
    <xf numFmtId="0" fontId="66" fillId="10" borderId="7" xfId="0" applyFont="1" applyFill="1" applyBorder="1" applyAlignment="1">
      <alignment horizontal="center"/>
    </xf>
    <xf numFmtId="9" fontId="69" fillId="2" borderId="1" xfId="0" applyNumberFormat="1" applyFont="1" applyFill="1" applyBorder="1" applyAlignment="1">
      <alignment horizontal="center" vertical="center"/>
    </xf>
    <xf numFmtId="9" fontId="69" fillId="2" borderId="8" xfId="0" applyNumberFormat="1" applyFont="1" applyFill="1" applyBorder="1" applyAlignment="1">
      <alignment horizontal="center" vertical="center"/>
    </xf>
    <xf numFmtId="9" fontId="69" fillId="2" borderId="9" xfId="0" applyNumberFormat="1" applyFont="1" applyFill="1" applyBorder="1" applyAlignment="1">
      <alignment horizontal="center" vertical="center"/>
    </xf>
    <xf numFmtId="9" fontId="69" fillId="2" borderId="10" xfId="0" applyNumberFormat="1" applyFont="1" applyFill="1" applyBorder="1" applyAlignment="1">
      <alignment horizontal="center" vertical="center"/>
    </xf>
    <xf numFmtId="164" fontId="69" fillId="2" borderId="12" xfId="0" applyNumberFormat="1" applyFont="1" applyFill="1" applyBorder="1" applyAlignment="1">
      <alignment horizontal="center" vertical="center"/>
    </xf>
    <xf numFmtId="164" fontId="69" fillId="2" borderId="13" xfId="0" applyNumberFormat="1" applyFont="1" applyFill="1" applyBorder="1" applyAlignment="1">
      <alignment horizontal="center" vertical="center"/>
    </xf>
    <xf numFmtId="9" fontId="69" fillId="2" borderId="12" xfId="0" applyNumberFormat="1" applyFont="1" applyFill="1" applyBorder="1" applyAlignment="1">
      <alignment horizontal="center" vertical="center"/>
    </xf>
    <xf numFmtId="1" fontId="69" fillId="2" borderId="12" xfId="0" applyNumberFormat="1" applyFont="1" applyFill="1" applyBorder="1" applyAlignment="1">
      <alignment horizontal="center" vertical="center"/>
    </xf>
    <xf numFmtId="1" fontId="69" fillId="2" borderId="1" xfId="0" applyNumberFormat="1" applyFont="1" applyFill="1" applyBorder="1" applyAlignment="1">
      <alignment horizontal="center" vertical="center"/>
    </xf>
    <xf numFmtId="1" fontId="69" fillId="2" borderId="8" xfId="0" applyNumberFormat="1" applyFont="1" applyFill="1" applyBorder="1" applyAlignment="1">
      <alignment horizontal="center" vertical="center"/>
    </xf>
    <xf numFmtId="164" fontId="68" fillId="2" borderId="1" xfId="0" applyNumberFormat="1" applyFont="1" applyFill="1" applyBorder="1" applyAlignment="1">
      <alignment horizontal="center" vertical="center"/>
    </xf>
    <xf numFmtId="164" fontId="68" fillId="2" borderId="8" xfId="0" applyNumberFormat="1" applyFont="1" applyFill="1" applyBorder="1" applyAlignment="1">
      <alignment horizontal="center" vertical="center"/>
    </xf>
    <xf numFmtId="164" fontId="69" fillId="2" borderId="9" xfId="0" applyNumberFormat="1" applyFont="1" applyFill="1" applyBorder="1" applyAlignment="1">
      <alignment horizontal="center" vertical="center"/>
    </xf>
    <xf numFmtId="164" fontId="69" fillId="2" borderId="10" xfId="0" applyNumberFormat="1" applyFont="1" applyFill="1" applyBorder="1" applyAlignment="1">
      <alignment horizontal="center" vertical="center"/>
    </xf>
    <xf numFmtId="0" fontId="81" fillId="0" borderId="14" xfId="0" applyFont="1" applyBorder="1" applyAlignment="1">
      <alignment horizontal="left" vertical="center" wrapText="1"/>
    </xf>
    <xf numFmtId="0" fontId="67" fillId="10" borderId="6" xfId="0" applyFont="1" applyFill="1" applyBorder="1" applyAlignment="1">
      <alignment horizontal="center"/>
    </xf>
    <xf numFmtId="0" fontId="67" fillId="10" borderId="7" xfId="0" applyFont="1" applyFill="1" applyBorder="1" applyAlignment="1">
      <alignment horizontal="center"/>
    </xf>
    <xf numFmtId="164" fontId="69" fillId="2" borderId="8" xfId="0" applyNumberFormat="1" applyFont="1" applyFill="1" applyBorder="1" applyAlignment="1">
      <alignment horizontal="center" vertical="center"/>
    </xf>
    <xf numFmtId="164" fontId="69" fillId="2" borderId="1" xfId="0" applyNumberFormat="1" applyFont="1" applyFill="1" applyBorder="1" applyAlignment="1">
      <alignment horizontal="center" vertical="center"/>
    </xf>
    <xf numFmtId="164" fontId="60" fillId="2" borderId="1" xfId="0" applyNumberFormat="1" applyFont="1" applyFill="1" applyBorder="1" applyAlignment="1">
      <alignment horizontal="center" vertical="top"/>
    </xf>
    <xf numFmtId="164" fontId="60" fillId="2" borderId="8" xfId="0" applyNumberFormat="1" applyFont="1" applyFill="1" applyBorder="1" applyAlignment="1">
      <alignment horizontal="center" vertical="top"/>
    </xf>
    <xf numFmtId="164" fontId="60" fillId="2" borderId="9" xfId="0" applyNumberFormat="1" applyFont="1" applyFill="1" applyBorder="1" applyAlignment="1">
      <alignment horizontal="center" vertical="top"/>
    </xf>
    <xf numFmtId="164" fontId="60" fillId="2" borderId="10" xfId="0" applyNumberFormat="1" applyFont="1" applyFill="1" applyBorder="1" applyAlignment="1">
      <alignment horizontal="center" vertical="top"/>
    </xf>
    <xf numFmtId="0" fontId="12" fillId="2" borderId="0" xfId="0" applyFont="1" applyFill="1" applyAlignment="1">
      <alignment vertical="top" wrapText="1"/>
    </xf>
    <xf numFmtId="0" fontId="0" fillId="0" borderId="0" xfId="0" applyAlignment="1">
      <alignment vertical="top" wrapText="1"/>
    </xf>
    <xf numFmtId="0" fontId="33" fillId="2" borderId="0" xfId="0" applyFont="1" applyFill="1" applyAlignment="1">
      <alignment horizontal="center"/>
    </xf>
    <xf numFmtId="0" fontId="14" fillId="2" borderId="0" xfId="0" applyFont="1" applyFill="1" applyAlignment="1">
      <alignment vertical="center"/>
    </xf>
    <xf numFmtId="0" fontId="15" fillId="0" borderId="0" xfId="0" applyFont="1" applyAlignment="1">
      <alignment vertical="center"/>
    </xf>
    <xf numFmtId="0" fontId="33" fillId="2" borderId="0" xfId="0" applyFont="1" applyFill="1" applyAlignment="1">
      <alignment horizontal="center" vertical="center"/>
    </xf>
    <xf numFmtId="0" fontId="16" fillId="2" borderId="0" xfId="0" applyFont="1" applyFill="1" applyAlignment="1">
      <alignment horizontal="center" vertical="center"/>
    </xf>
  </cellXfs>
  <cellStyles count="7">
    <cellStyle name="Hyperlink" xfId="3" builtinId="8"/>
    <cellStyle name="Invoer" xfId="4" builtinId="20"/>
    <cellStyle name="Komma" xfId="5" builtinId="3"/>
    <cellStyle name="Procent" xfId="1" builtinId="5"/>
    <cellStyle name="Standaard" xfId="0" builtinId="0"/>
    <cellStyle name="Valuta" xfId="6" builtinId="4"/>
    <cellStyle name="Verklarende tekst" xfId="2" builtinId="53"/>
  </cellStyles>
  <dxfs count="142">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b val="0"/>
        <i/>
        <strike val="0"/>
      </font>
      <fill>
        <patternFill patternType="lightUp">
          <fgColor theme="0" tint="-0.34998626667073579"/>
        </patternFill>
      </fill>
      <border>
        <left/>
        <right/>
        <top/>
        <bottom/>
        <vertical/>
        <horizontal/>
      </border>
    </dxf>
    <dxf>
      <font>
        <b val="0"/>
        <i/>
        <strike val="0"/>
      </font>
      <fill>
        <patternFill patternType="lightUp">
          <fgColor theme="0" tint="-0.34998626667073579"/>
          <bgColor auto="1"/>
        </patternFill>
      </fill>
    </dxf>
    <dxf>
      <font>
        <color rgb="FF9C0006"/>
      </font>
      <fill>
        <patternFill>
          <bgColor rgb="FFFFC7CE"/>
        </patternFill>
      </fill>
    </dxf>
    <dxf>
      <font>
        <color theme="0"/>
      </font>
      <fill>
        <patternFill>
          <bgColor theme="0"/>
        </patternFill>
      </fill>
    </dxf>
    <dxf>
      <font>
        <color theme="0"/>
      </font>
      <fill>
        <patternFill>
          <fgColor theme="0"/>
          <bgColor theme="0"/>
        </patternFill>
      </fill>
    </dxf>
    <dxf>
      <font>
        <color theme="0"/>
      </font>
      <fill>
        <patternFill>
          <fgColor theme="0"/>
          <bgColor theme="0"/>
        </patternFill>
      </fill>
    </dxf>
    <dxf>
      <font>
        <color theme="0"/>
      </font>
      <fill>
        <patternFill>
          <fgColor theme="0"/>
          <bgColor theme="0"/>
        </patternFill>
      </fill>
    </dxf>
    <dxf>
      <font>
        <color theme="0"/>
      </font>
      <fill>
        <patternFill>
          <bgColor theme="0"/>
        </patternFill>
      </fill>
    </dxf>
    <dxf>
      <font>
        <color theme="0"/>
      </font>
      <fill>
        <patternFill>
          <bgColor theme="0"/>
        </patternFill>
      </fill>
    </dxf>
    <dxf>
      <font>
        <color theme="1"/>
      </font>
      <fill>
        <patternFill>
          <bgColor rgb="FFFFB09C"/>
        </patternFill>
      </fill>
    </dxf>
    <dxf>
      <font>
        <color theme="1"/>
      </font>
      <fill>
        <patternFill>
          <bgColor rgb="FFFFB09C"/>
        </patternFill>
      </fill>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rgb="FFEAEDF2"/>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rgb="FFEAEDF2"/>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lef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rgb="FFEAEDF2"/>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1" formatCode="#,##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1" formatCode="#,##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2" formatCode="#,##0.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2"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center" vertical="center" textRotation="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center" vertical="center" textRotation="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center" vertical="center" textRotation="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vertical="center" textRotation="0" indent="0" justifyLastLine="0" shrinkToFit="0" readingOrder="0"/>
    </dxf>
    <dxf>
      <font>
        <b/>
        <i/>
        <strike val="0"/>
        <condense val="0"/>
        <extend val="0"/>
        <outline val="0"/>
        <shadow val="0"/>
        <u val="none"/>
        <vertAlign val="baseline"/>
        <sz val="12"/>
        <color auto="1"/>
        <name val="Calibri"/>
        <family val="2"/>
        <scheme val="minor"/>
      </font>
      <alignment horizontal="left" vertical="top" textRotation="0" wrapText="1" indent="0" justifyLastLine="0" shrinkToFit="0" readingOrder="0"/>
    </dxf>
    <dxf>
      <border>
        <left/>
        <right/>
        <top/>
        <bottom/>
        <vertical/>
        <horizontal/>
      </border>
    </dxf>
  </dxfs>
  <tableStyles count="2" defaultTableStyle="TableStyleMedium2" defaultPivotStyle="PivotStyleLight16">
    <tableStyle name="Tabelstijl 1" pivot="0" count="0" xr9:uid="{3CE667E8-E8CF-4B5C-BFD1-1403368360EB}"/>
    <tableStyle name="Tabelstijl 2" pivot="0" count="1" xr9:uid="{2A4BBD17-866D-456B-809A-D7A883711942}">
      <tableStyleElement type="wholeTable" dxfId="141"/>
    </tableStyle>
  </tableStyles>
  <colors>
    <mruColors>
      <color rgb="FF009B48"/>
      <color rgb="FFFFFFFF"/>
      <color rgb="FFEAEDF2"/>
      <color rgb="FFFFCC99"/>
      <color rgb="FFFFB871"/>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1">
                    <a:lumMod val="65000"/>
                    <a:lumOff val="35000"/>
                  </a:schemeClr>
                </a:solidFill>
                <a:latin typeface="+mn-lt"/>
                <a:ea typeface="+mn-ea"/>
                <a:cs typeface="+mn-cs"/>
              </a:defRPr>
            </a:pPr>
            <a:r>
              <a:rPr lang="nl-BE"/>
              <a:t>Gevoeligheidsanalyse</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1">
                  <a:lumMod val="65000"/>
                  <a:lumOff val="35000"/>
                </a:schemeClr>
              </a:solidFill>
              <a:latin typeface="+mn-lt"/>
              <a:ea typeface="+mn-ea"/>
              <a:cs typeface="+mn-cs"/>
            </a:defRPr>
          </a:pPr>
          <a:endParaRPr lang="nl-BE"/>
        </a:p>
      </c:txPr>
    </c:title>
    <c:autoTitleDeleted val="0"/>
    <c:plotArea>
      <c:layout/>
      <c:areaChart>
        <c:grouping val="stacked"/>
        <c:varyColors val="0"/>
        <c:ser>
          <c:idx val="1"/>
          <c:order val="1"/>
          <c:tx>
            <c:strRef>
              <c:f>'Berekening business case'!$C$315</c:f>
              <c:strCache>
                <c:ptCount val="1"/>
                <c:pt idx="0">
                  <c:v>SCENARIO: Gas gunstig shade</c:v>
                </c:pt>
              </c:strCache>
            </c:strRef>
          </c:tx>
          <c:spPr>
            <a:noFill/>
            <a:ln>
              <a:noFill/>
            </a:ln>
            <a:effectLst/>
          </c:spPr>
          <c:cat>
            <c:numRef>
              <c:extLst>
                <c:ext xmlns:c15="http://schemas.microsoft.com/office/drawing/2012/chart" uri="{02D57815-91ED-43cb-92C2-25804820EDAC}">
                  <c15:fullRef>
                    <c15:sqref>'Berekening business case'!$D$313:$AK$313</c15:sqref>
                  </c15:fullRef>
                </c:ext>
              </c:extLst>
              <c:f>'Berekening business case'!$D$313:$AC$313</c:f>
              <c:numCache>
                <c:formatCode>General</c:formatCode>
                <c:ptCount val="26"/>
                <c:pt idx="0">
                  <c:v>-3</c:v>
                </c:pt>
                <c:pt idx="1">
                  <c:v>-2</c:v>
                </c:pt>
                <c:pt idx="2">
                  <c:v>-1</c:v>
                </c:pt>
                <c:pt idx="3">
                  <c:v>0</c:v>
                </c:pt>
                <c:pt idx="4">
                  <c:v>1</c:v>
                </c:pt>
                <c:pt idx="5">
                  <c:v>2</c:v>
                </c:pt>
                <c:pt idx="6">
                  <c:v>3</c:v>
                </c:pt>
                <c:pt idx="7">
                  <c:v>4</c:v>
                </c:pt>
                <c:pt idx="8">
                  <c:v>5</c:v>
                </c:pt>
                <c:pt idx="9">
                  <c:v>6</c:v>
                </c:pt>
                <c:pt idx="10">
                  <c:v>7</c:v>
                </c:pt>
                <c:pt idx="11">
                  <c:v>8</c:v>
                </c:pt>
                <c:pt idx="12">
                  <c:v>9</c:v>
                </c:pt>
                <c:pt idx="13">
                  <c:v>10</c:v>
                </c:pt>
                <c:pt idx="14">
                  <c:v>11</c:v>
                </c:pt>
                <c:pt idx="15">
                  <c:v>12</c:v>
                </c:pt>
                <c:pt idx="16">
                  <c:v>13</c:v>
                </c:pt>
                <c:pt idx="17">
                  <c:v>14</c:v>
                </c:pt>
                <c:pt idx="18">
                  <c:v>15</c:v>
                </c:pt>
                <c:pt idx="19">
                  <c:v>16</c:v>
                </c:pt>
                <c:pt idx="20">
                  <c:v>17</c:v>
                </c:pt>
                <c:pt idx="21">
                  <c:v>18</c:v>
                </c:pt>
                <c:pt idx="22">
                  <c:v>19</c:v>
                </c:pt>
                <c:pt idx="23">
                  <c:v>20</c:v>
                </c:pt>
                <c:pt idx="24">
                  <c:v>21</c:v>
                </c:pt>
                <c:pt idx="25">
                  <c:v>22</c:v>
                </c:pt>
              </c:numCache>
            </c:numRef>
          </c:cat>
          <c:val>
            <c:numRef>
              <c:extLst>
                <c:ext xmlns:c15="http://schemas.microsoft.com/office/drawing/2012/chart" uri="{02D57815-91ED-43cb-92C2-25804820EDAC}">
                  <c15:fullRef>
                    <c15:sqref>'Berekening business case'!$D$315:$AK$315</c15:sqref>
                  </c15:fullRef>
                </c:ext>
              </c:extLst>
              <c:f>'Berekening business case'!$D$315:$AC$315</c:f>
              <c:numCache>
                <c:formatCode>_-* #,##0.00\ "€"_-;\-* #,##0.00\ "€"_-;_-* "-"??\ "€"_-;_-@_-</c:formatCode>
                <c:ptCount val="26"/>
                <c:pt idx="0">
                  <c:v>0</c:v>
                </c:pt>
                <c:pt idx="1">
                  <c:v>0</c:v>
                </c:pt>
                <c:pt idx="2">
                  <c:v>-8294767.7999999998</c:v>
                </c:pt>
                <c:pt idx="3">
                  <c:v>-8294767.7999999998</c:v>
                </c:pt>
                <c:pt idx="4">
                  <c:v>-7348511.2059780089</c:v>
                </c:pt>
                <c:pt idx="5">
                  <c:v>-6415649.306756285</c:v>
                </c:pt>
                <c:pt idx="6">
                  <c:v>-5503174.7345195776</c:v>
                </c:pt>
                <c:pt idx="7">
                  <c:v>-4354734.5660980921</c:v>
                </c:pt>
                <c:pt idx="8">
                  <c:v>-3046764.169434906</c:v>
                </c:pt>
                <c:pt idx="9">
                  <c:v>-1589366.4327383351</c:v>
                </c:pt>
                <c:pt idx="10">
                  <c:v>-51948.440852375701</c:v>
                </c:pt>
                <c:pt idx="11">
                  <c:v>1559772.1029900096</c:v>
                </c:pt>
                <c:pt idx="12">
                  <c:v>3240341.5222703246</c:v>
                </c:pt>
                <c:pt idx="13">
                  <c:v>4984559.6309148241</c:v>
                </c:pt>
                <c:pt idx="14">
                  <c:v>6642278.9408107828</c:v>
                </c:pt>
                <c:pt idx="15">
                  <c:v>8366998.2802098412</c:v>
                </c:pt>
                <c:pt idx="16">
                  <c:v>10153580.12295212</c:v>
                </c:pt>
                <c:pt idx="17">
                  <c:v>11997128.264022177</c:v>
                </c:pt>
                <c:pt idx="18">
                  <c:v>13892978.114371937</c:v>
                </c:pt>
                <c:pt idx="19">
                  <c:v>#N/A</c:v>
                </c:pt>
                <c:pt idx="20">
                  <c:v>#N/A</c:v>
                </c:pt>
                <c:pt idx="21">
                  <c:v>#N/A</c:v>
                </c:pt>
                <c:pt idx="22">
                  <c:v>#N/A</c:v>
                </c:pt>
                <c:pt idx="23">
                  <c:v>#N/A</c:v>
                </c:pt>
                <c:pt idx="24">
                  <c:v>#N/A</c:v>
                </c:pt>
                <c:pt idx="25">
                  <c:v>#N/A</c:v>
                </c:pt>
              </c:numCache>
            </c:numRef>
          </c:val>
          <c:extLst>
            <c:ext xmlns:c16="http://schemas.microsoft.com/office/drawing/2014/chart" uri="{C3380CC4-5D6E-409C-BE32-E72D297353CC}">
              <c16:uniqueId val="{00000000-C60C-466A-AB3B-06DBF315132B}"/>
            </c:ext>
          </c:extLst>
        </c:ser>
        <c:ser>
          <c:idx val="2"/>
          <c:order val="2"/>
          <c:tx>
            <c:strRef>
              <c:f>'Berekening business case'!$C$316</c:f>
              <c:strCache>
                <c:ptCount val="1"/>
                <c:pt idx="0">
                  <c:v>SCENARIO: Elektrisch gunstig shade</c:v>
                </c:pt>
              </c:strCache>
            </c:strRef>
          </c:tx>
          <c:spPr>
            <a:solidFill>
              <a:schemeClr val="tx2">
                <a:lumMod val="20000"/>
                <a:lumOff val="80000"/>
              </a:schemeClr>
            </a:solidFill>
            <a:ln w="25400">
              <a:noFill/>
            </a:ln>
            <a:effectLst/>
          </c:spPr>
          <c:cat>
            <c:numRef>
              <c:extLst>
                <c:ext xmlns:c15="http://schemas.microsoft.com/office/drawing/2012/chart" uri="{02D57815-91ED-43cb-92C2-25804820EDAC}">
                  <c15:fullRef>
                    <c15:sqref>'Berekening business case'!$D$313:$AK$313</c15:sqref>
                  </c15:fullRef>
                </c:ext>
              </c:extLst>
              <c:f>'Berekening business case'!$D$313:$AC$313</c:f>
              <c:numCache>
                <c:formatCode>General</c:formatCode>
                <c:ptCount val="26"/>
                <c:pt idx="0">
                  <c:v>-3</c:v>
                </c:pt>
                <c:pt idx="1">
                  <c:v>-2</c:v>
                </c:pt>
                <c:pt idx="2">
                  <c:v>-1</c:v>
                </c:pt>
                <c:pt idx="3">
                  <c:v>0</c:v>
                </c:pt>
                <c:pt idx="4">
                  <c:v>1</c:v>
                </c:pt>
                <c:pt idx="5">
                  <c:v>2</c:v>
                </c:pt>
                <c:pt idx="6">
                  <c:v>3</c:v>
                </c:pt>
                <c:pt idx="7">
                  <c:v>4</c:v>
                </c:pt>
                <c:pt idx="8">
                  <c:v>5</c:v>
                </c:pt>
                <c:pt idx="9">
                  <c:v>6</c:v>
                </c:pt>
                <c:pt idx="10">
                  <c:v>7</c:v>
                </c:pt>
                <c:pt idx="11">
                  <c:v>8</c:v>
                </c:pt>
                <c:pt idx="12">
                  <c:v>9</c:v>
                </c:pt>
                <c:pt idx="13">
                  <c:v>10</c:v>
                </c:pt>
                <c:pt idx="14">
                  <c:v>11</c:v>
                </c:pt>
                <c:pt idx="15">
                  <c:v>12</c:v>
                </c:pt>
                <c:pt idx="16">
                  <c:v>13</c:v>
                </c:pt>
                <c:pt idx="17">
                  <c:v>14</c:v>
                </c:pt>
                <c:pt idx="18">
                  <c:v>15</c:v>
                </c:pt>
                <c:pt idx="19">
                  <c:v>16</c:v>
                </c:pt>
                <c:pt idx="20">
                  <c:v>17</c:v>
                </c:pt>
                <c:pt idx="21">
                  <c:v>18</c:v>
                </c:pt>
                <c:pt idx="22">
                  <c:v>19</c:v>
                </c:pt>
                <c:pt idx="23">
                  <c:v>20</c:v>
                </c:pt>
                <c:pt idx="24">
                  <c:v>21</c:v>
                </c:pt>
                <c:pt idx="25">
                  <c:v>22</c:v>
                </c:pt>
              </c:numCache>
            </c:numRef>
          </c:cat>
          <c:val>
            <c:numRef>
              <c:extLst>
                <c:ext xmlns:c15="http://schemas.microsoft.com/office/drawing/2012/chart" uri="{02D57815-91ED-43cb-92C2-25804820EDAC}">
                  <c15:fullRef>
                    <c15:sqref>'Berekening business case'!$D$317:$AK$317</c15:sqref>
                  </c15:fullRef>
                </c:ext>
              </c:extLst>
              <c:f>'Berekening business case'!$D$317:$AC$317</c:f>
              <c:numCache>
                <c:formatCode>_-* #,##0.00\ "€"_-;\-* #,##0.00\ "€"_-;_-* "-"??\ "€"_-;_-@_-</c:formatCode>
                <c:ptCount val="26"/>
                <c:pt idx="0">
                  <c:v>0</c:v>
                </c:pt>
                <c:pt idx="1">
                  <c:v>0</c:v>
                </c:pt>
                <c:pt idx="2">
                  <c:v>0</c:v>
                </c:pt>
                <c:pt idx="3">
                  <c:v>0</c:v>
                </c:pt>
                <c:pt idx="4">
                  <c:v>614872.48342921119</c:v>
                </c:pt>
                <c:pt idx="5">
                  <c:v>1205777.2665064475</c:v>
                </c:pt>
                <c:pt idx="6">
                  <c:v>1780842.8486091923</c:v>
                </c:pt>
                <c:pt idx="7">
                  <c:v>2532351.5851352639</c:v>
                </c:pt>
                <c:pt idx="8">
                  <c:v>3552979.793979445</c:v>
                </c:pt>
                <c:pt idx="9">
                  <c:v>4826389.5317775663</c:v>
                </c:pt>
                <c:pt idx="10">
                  <c:v>6409262.1193133872</c:v>
                </c:pt>
                <c:pt idx="11">
                  <c:v>8282449.8991570575</c:v>
                </c:pt>
                <c:pt idx="12">
                  <c:v>10427660.37448981</c:v>
                </c:pt>
                <c:pt idx="13">
                  <c:v>12827422.559445782</c:v>
                </c:pt>
                <c:pt idx="14">
                  <c:v>15465054.566564383</c:v>
                </c:pt>
                <c:pt idx="15">
                  <c:v>18310987.061475448</c:v>
                </c:pt>
                <c:pt idx="16">
                  <c:v>21350822.579290323</c:v>
                </c:pt>
                <c:pt idx="17">
                  <c:v>24570827.44464545</c:v>
                </c:pt>
                <c:pt idx="18">
                  <c:v>27957905.254738655</c:v>
                </c:pt>
                <c:pt idx="19">
                  <c:v>#N/A</c:v>
                </c:pt>
                <c:pt idx="20">
                  <c:v>#N/A</c:v>
                </c:pt>
                <c:pt idx="21">
                  <c:v>#N/A</c:v>
                </c:pt>
                <c:pt idx="22">
                  <c:v>#N/A</c:v>
                </c:pt>
                <c:pt idx="23">
                  <c:v>#N/A</c:v>
                </c:pt>
                <c:pt idx="24">
                  <c:v>#N/A</c:v>
                </c:pt>
                <c:pt idx="25">
                  <c:v>#N/A</c:v>
                </c:pt>
              </c:numCache>
            </c:numRef>
          </c:val>
          <c:extLst>
            <c:ext xmlns:c16="http://schemas.microsoft.com/office/drawing/2014/chart" uri="{C3380CC4-5D6E-409C-BE32-E72D297353CC}">
              <c16:uniqueId val="{00000001-C60C-466A-AB3B-06DBF315132B}"/>
            </c:ext>
          </c:extLst>
        </c:ser>
        <c:dLbls>
          <c:showLegendKey val="0"/>
          <c:showVal val="0"/>
          <c:showCatName val="0"/>
          <c:showSerName val="0"/>
          <c:showPercent val="0"/>
          <c:showBubbleSize val="0"/>
        </c:dLbls>
        <c:axId val="394874176"/>
        <c:axId val="394872736"/>
      </c:areaChart>
      <c:lineChart>
        <c:grouping val="standard"/>
        <c:varyColors val="0"/>
        <c:ser>
          <c:idx val="0"/>
          <c:order val="0"/>
          <c:tx>
            <c:strRef>
              <c:f>'Berekening business case'!$C$314</c:f>
              <c:strCache>
                <c:ptCount val="1"/>
                <c:pt idx="0">
                  <c:v>Verdisconteerde cumulatieve som</c:v>
                </c:pt>
              </c:strCache>
            </c:strRef>
          </c:tx>
          <c:spPr>
            <a:ln w="28575" cap="rnd">
              <a:solidFill>
                <a:srgbClr val="009B48"/>
              </a:solidFill>
              <a:round/>
            </a:ln>
            <a:effectLst/>
          </c:spPr>
          <c:marker>
            <c:symbol val="circle"/>
            <c:size val="5"/>
            <c:spPr>
              <a:solidFill>
                <a:srgbClr val="009B48"/>
              </a:solidFill>
              <a:ln w="9525">
                <a:solidFill>
                  <a:srgbClr val="009B48"/>
                </a:solidFill>
              </a:ln>
              <a:effectLst/>
            </c:spPr>
          </c:marker>
          <c:cat>
            <c:numRef>
              <c:extLst>
                <c:ext xmlns:c15="http://schemas.microsoft.com/office/drawing/2012/chart" uri="{02D57815-91ED-43cb-92C2-25804820EDAC}">
                  <c15:fullRef>
                    <c15:sqref>'Berekening business case'!$D$313:$AK$313</c15:sqref>
                  </c15:fullRef>
                </c:ext>
              </c:extLst>
              <c:f>'Berekening business case'!$D$313:$AC$313</c:f>
              <c:numCache>
                <c:formatCode>General</c:formatCode>
                <c:ptCount val="26"/>
                <c:pt idx="0">
                  <c:v>-3</c:v>
                </c:pt>
                <c:pt idx="1">
                  <c:v>-2</c:v>
                </c:pt>
                <c:pt idx="2">
                  <c:v>-1</c:v>
                </c:pt>
                <c:pt idx="3">
                  <c:v>0</c:v>
                </c:pt>
                <c:pt idx="4">
                  <c:v>1</c:v>
                </c:pt>
                <c:pt idx="5">
                  <c:v>2</c:v>
                </c:pt>
                <c:pt idx="6">
                  <c:v>3</c:v>
                </c:pt>
                <c:pt idx="7">
                  <c:v>4</c:v>
                </c:pt>
                <c:pt idx="8">
                  <c:v>5</c:v>
                </c:pt>
                <c:pt idx="9">
                  <c:v>6</c:v>
                </c:pt>
                <c:pt idx="10">
                  <c:v>7</c:v>
                </c:pt>
                <c:pt idx="11">
                  <c:v>8</c:v>
                </c:pt>
                <c:pt idx="12">
                  <c:v>9</c:v>
                </c:pt>
                <c:pt idx="13">
                  <c:v>10</c:v>
                </c:pt>
                <c:pt idx="14">
                  <c:v>11</c:v>
                </c:pt>
                <c:pt idx="15">
                  <c:v>12</c:v>
                </c:pt>
                <c:pt idx="16">
                  <c:v>13</c:v>
                </c:pt>
                <c:pt idx="17">
                  <c:v>14</c:v>
                </c:pt>
                <c:pt idx="18">
                  <c:v>15</c:v>
                </c:pt>
                <c:pt idx="19">
                  <c:v>16</c:v>
                </c:pt>
                <c:pt idx="20">
                  <c:v>17</c:v>
                </c:pt>
                <c:pt idx="21">
                  <c:v>18</c:v>
                </c:pt>
                <c:pt idx="22">
                  <c:v>19</c:v>
                </c:pt>
                <c:pt idx="23">
                  <c:v>20</c:v>
                </c:pt>
                <c:pt idx="24">
                  <c:v>21</c:v>
                </c:pt>
                <c:pt idx="25">
                  <c:v>22</c:v>
                </c:pt>
              </c:numCache>
            </c:numRef>
          </c:cat>
          <c:val>
            <c:numRef>
              <c:extLst>
                <c:ext xmlns:c15="http://schemas.microsoft.com/office/drawing/2012/chart" uri="{02D57815-91ED-43cb-92C2-25804820EDAC}">
                  <c15:fullRef>
                    <c15:sqref>'Berekening business case'!$D$314:$AK$314</c15:sqref>
                  </c15:fullRef>
                </c:ext>
              </c:extLst>
              <c:f>'Berekening business case'!$D$314:$AC$314</c:f>
              <c:numCache>
                <c:formatCode>_-* #,##0.00\ "€"_-;\-* #,##0.00\ "€"_-;_-* "-"??\ "€"_-;_-@_-</c:formatCode>
                <c:ptCount val="26"/>
                <c:pt idx="0">
                  <c:v>0</c:v>
                </c:pt>
                <c:pt idx="1">
                  <c:v>0</c:v>
                </c:pt>
                <c:pt idx="2">
                  <c:v>-8294767.7999999998</c:v>
                </c:pt>
                <c:pt idx="3">
                  <c:v>-8294767.7999999998</c:v>
                </c:pt>
                <c:pt idx="4">
                  <c:v>-6805847.1530428817</c:v>
                </c:pt>
                <c:pt idx="5">
                  <c:v>-5349926.3472392866</c:v>
                </c:pt>
                <c:pt idx="6">
                  <c:v>-3926051.981588773</c:v>
                </c:pt>
                <c:pt idx="7">
                  <c:v>-2085764.4087643519</c:v>
                </c:pt>
                <c:pt idx="8">
                  <c:v>-169851.82926154532</c:v>
                </c:pt>
                <c:pt idx="9">
                  <c:v>1815971.1096371168</c:v>
                </c:pt>
                <c:pt idx="10">
                  <c:v>3864982.8298866041</c:v>
                </c:pt>
                <c:pt idx="11">
                  <c:v>5972066.3202198986</c:v>
                </c:pt>
                <c:pt idx="12">
                  <c:v>8132347.1811589319</c:v>
                </c:pt>
                <c:pt idx="13">
                  <c:v>10341183.834334861</c:v>
                </c:pt>
                <c:pt idx="14">
                  <c:v>12448967.450230081</c:v>
                </c:pt>
                <c:pt idx="15">
                  <c:v>14609716.262289174</c:v>
                </c:pt>
                <c:pt idx="16">
                  <c:v>16818793.568151895</c:v>
                </c:pt>
                <c:pt idx="17">
                  <c:v>19071786.054310631</c:v>
                </c:pt>
                <c:pt idx="18">
                  <c:v>21364494.717893917</c:v>
                </c:pt>
                <c:pt idx="19">
                  <c:v>#N/A</c:v>
                </c:pt>
                <c:pt idx="20">
                  <c:v>#N/A</c:v>
                </c:pt>
                <c:pt idx="21">
                  <c:v>#N/A</c:v>
                </c:pt>
                <c:pt idx="22">
                  <c:v>#N/A</c:v>
                </c:pt>
                <c:pt idx="23">
                  <c:v>#N/A</c:v>
                </c:pt>
                <c:pt idx="24">
                  <c:v>#N/A</c:v>
                </c:pt>
                <c:pt idx="25">
                  <c:v>#N/A</c:v>
                </c:pt>
              </c:numCache>
            </c:numRef>
          </c:val>
          <c:smooth val="0"/>
          <c:extLst>
            <c:ext xmlns:c16="http://schemas.microsoft.com/office/drawing/2014/chart" uri="{C3380CC4-5D6E-409C-BE32-E72D297353CC}">
              <c16:uniqueId val="{00000002-C60C-466A-AB3B-06DBF315132B}"/>
            </c:ext>
          </c:extLst>
        </c:ser>
        <c:ser>
          <c:idx val="3"/>
          <c:order val="3"/>
          <c:tx>
            <c:strRef>
              <c:f>'Berekening business case'!$C$319</c:f>
              <c:strCache>
                <c:ptCount val="1"/>
                <c:pt idx="0">
                  <c:v>SCENARIO: Gas gunstig</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6"/>
              <c:pt idx="0">
                <c:v>-3</c:v>
              </c:pt>
              <c:pt idx="1">
                <c:v>-2</c:v>
              </c:pt>
              <c:pt idx="2">
                <c:v>-1</c:v>
              </c:pt>
              <c:pt idx="3">
                <c:v>0</c:v>
              </c:pt>
              <c:pt idx="4">
                <c:v>1</c:v>
              </c:pt>
              <c:pt idx="5">
                <c:v>2</c:v>
              </c:pt>
              <c:pt idx="6">
                <c:v>3</c:v>
              </c:pt>
              <c:pt idx="7">
                <c:v>4</c:v>
              </c:pt>
              <c:pt idx="8">
                <c:v>5</c:v>
              </c:pt>
              <c:pt idx="9">
                <c:v>6</c:v>
              </c:pt>
              <c:pt idx="10">
                <c:v>7</c:v>
              </c:pt>
              <c:pt idx="11">
                <c:v>8</c:v>
              </c:pt>
              <c:pt idx="12">
                <c:v>9</c:v>
              </c:pt>
              <c:pt idx="13">
                <c:v>10</c:v>
              </c:pt>
              <c:pt idx="14">
                <c:v>11</c:v>
              </c:pt>
              <c:pt idx="15">
                <c:v>12</c:v>
              </c:pt>
              <c:pt idx="16">
                <c:v>13</c:v>
              </c:pt>
              <c:pt idx="17">
                <c:v>14</c:v>
              </c:pt>
              <c:pt idx="18">
                <c:v>15</c:v>
              </c:pt>
              <c:pt idx="19">
                <c:v>16</c:v>
              </c:pt>
              <c:pt idx="20">
                <c:v>17</c:v>
              </c:pt>
              <c:pt idx="21">
                <c:v>18</c:v>
              </c:pt>
              <c:pt idx="22">
                <c:v>19</c:v>
              </c:pt>
              <c:pt idx="23">
                <c:v>20</c:v>
              </c:pt>
              <c:pt idx="24">
                <c:v>21</c:v>
              </c:pt>
              <c:pt idx="25">
                <c:v>22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'Berekening business case'!$D$319:$AK$319</c15:sqref>
                  </c15:fullRef>
                </c:ext>
              </c:extLst>
              <c:f>'Berekening business case'!$D$319:$AC$319</c:f>
              <c:numCache>
                <c:formatCode>_-* #,##0.00\ "€"_-;\-* #,##0.00\ "€"_-;_-* "-"??\ "€"_-;_-@_-</c:formatCode>
                <c:ptCount val="26"/>
                <c:pt idx="0">
                  <c:v>0</c:v>
                </c:pt>
                <c:pt idx="1">
                  <c:v>0</c:v>
                </c:pt>
                <c:pt idx="2">
                  <c:v>-8294767.7999999998</c:v>
                </c:pt>
                <c:pt idx="3">
                  <c:v>-8294767.7999999998</c:v>
                </c:pt>
                <c:pt idx="4">
                  <c:v>-7348511.2059780089</c:v>
                </c:pt>
                <c:pt idx="5">
                  <c:v>-6415649.306756285</c:v>
                </c:pt>
                <c:pt idx="6">
                  <c:v>-5503174.7345195776</c:v>
                </c:pt>
                <c:pt idx="7">
                  <c:v>-4354734.5660980921</c:v>
                </c:pt>
                <c:pt idx="8">
                  <c:v>-3046764.169434906</c:v>
                </c:pt>
                <c:pt idx="9">
                  <c:v>-1589366.4327383351</c:v>
                </c:pt>
                <c:pt idx="10">
                  <c:v>-51948.440852375701</c:v>
                </c:pt>
                <c:pt idx="11">
                  <c:v>1559772.1029900096</c:v>
                </c:pt>
                <c:pt idx="12">
                  <c:v>3240341.5222703246</c:v>
                </c:pt>
                <c:pt idx="13">
                  <c:v>4984559.6309148241</c:v>
                </c:pt>
                <c:pt idx="14">
                  <c:v>6642278.9408107828</c:v>
                </c:pt>
                <c:pt idx="15">
                  <c:v>8366998.2802098412</c:v>
                </c:pt>
                <c:pt idx="16">
                  <c:v>10153580.12295212</c:v>
                </c:pt>
                <c:pt idx="17">
                  <c:v>11997128.264022177</c:v>
                </c:pt>
                <c:pt idx="18">
                  <c:v>13892978.114371937</c:v>
                </c:pt>
                <c:pt idx="19">
                  <c:v>#N/A</c:v>
                </c:pt>
                <c:pt idx="20">
                  <c:v>#N/A</c:v>
                </c:pt>
                <c:pt idx="21">
                  <c:v>#N/A</c:v>
                </c:pt>
                <c:pt idx="22">
                  <c:v>#N/A</c:v>
                </c:pt>
                <c:pt idx="23">
                  <c:v>#N/A</c:v>
                </c:pt>
                <c:pt idx="24">
                  <c:v>#N/A</c:v>
                </c:pt>
                <c:pt idx="25">
                  <c:v>#N/A</c:v>
                </c:pt>
              </c:numCache>
            </c:numRef>
          </c:val>
          <c:smooth val="0"/>
          <c:extLst>
            <c:ext xmlns:c16="http://schemas.microsoft.com/office/drawing/2014/chart" uri="{C3380CC4-5D6E-409C-BE32-E72D297353CC}">
              <c16:uniqueId val="{00000003-C60C-466A-AB3B-06DBF315132B}"/>
            </c:ext>
          </c:extLst>
        </c:ser>
        <c:ser>
          <c:idx val="4"/>
          <c:order val="4"/>
          <c:tx>
            <c:strRef>
              <c:f>'Berekening business case'!$C$320</c:f>
              <c:strCache>
                <c:ptCount val="1"/>
                <c:pt idx="0">
                  <c:v>SCENARIO: Elektrisch gunstig</c:v>
                </c:pt>
              </c:strCache>
            </c:strRef>
          </c:tx>
          <c:spPr>
            <a:ln w="28575" cap="rnd">
              <a:solidFill>
                <a:schemeClr val="accent1"/>
              </a:solidFill>
              <a:round/>
            </a:ln>
            <a:effectLst/>
          </c:spPr>
          <c:marker>
            <c:symbol val="circle"/>
            <c:size val="5"/>
            <c:spPr>
              <a:solidFill>
                <a:schemeClr val="accent1"/>
              </a:solidFill>
              <a:ln w="9525">
                <a:solidFill>
                  <a:schemeClr val="accent5"/>
                </a:solidFill>
              </a:ln>
              <a:effectLst/>
            </c:spPr>
          </c:marker>
          <c:cat>
            <c:strLit>
              <c:ptCount val="26"/>
              <c:pt idx="0">
                <c:v>-3</c:v>
              </c:pt>
              <c:pt idx="1">
                <c:v>-2</c:v>
              </c:pt>
              <c:pt idx="2">
                <c:v>-1</c:v>
              </c:pt>
              <c:pt idx="3">
                <c:v>0</c:v>
              </c:pt>
              <c:pt idx="4">
                <c:v>1</c:v>
              </c:pt>
              <c:pt idx="5">
                <c:v>2</c:v>
              </c:pt>
              <c:pt idx="6">
                <c:v>3</c:v>
              </c:pt>
              <c:pt idx="7">
                <c:v>4</c:v>
              </c:pt>
              <c:pt idx="8">
                <c:v>5</c:v>
              </c:pt>
              <c:pt idx="9">
                <c:v>6</c:v>
              </c:pt>
              <c:pt idx="10">
                <c:v>7</c:v>
              </c:pt>
              <c:pt idx="11">
                <c:v>8</c:v>
              </c:pt>
              <c:pt idx="12">
                <c:v>9</c:v>
              </c:pt>
              <c:pt idx="13">
                <c:v>10</c:v>
              </c:pt>
              <c:pt idx="14">
                <c:v>11</c:v>
              </c:pt>
              <c:pt idx="15">
                <c:v>12</c:v>
              </c:pt>
              <c:pt idx="16">
                <c:v>13</c:v>
              </c:pt>
              <c:pt idx="17">
                <c:v>14</c:v>
              </c:pt>
              <c:pt idx="18">
                <c:v>15</c:v>
              </c:pt>
              <c:pt idx="19">
                <c:v>16</c:v>
              </c:pt>
              <c:pt idx="20">
                <c:v>17</c:v>
              </c:pt>
              <c:pt idx="21">
                <c:v>18</c:v>
              </c:pt>
              <c:pt idx="22">
                <c:v>19</c:v>
              </c:pt>
              <c:pt idx="23">
                <c:v>20</c:v>
              </c:pt>
              <c:pt idx="24">
                <c:v>21</c:v>
              </c:pt>
              <c:pt idx="25">
                <c:v>22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'Berekening business case'!$D$320:$AK$320</c15:sqref>
                  </c15:fullRef>
                </c:ext>
              </c:extLst>
              <c:f>'Berekening business case'!$D$320:$AC$320</c:f>
              <c:numCache>
                <c:formatCode>_-* #,##0.00\ "€"_-;\-* #,##0.00\ "€"_-;_-* "-"??\ "€"_-;_-@_-</c:formatCode>
                <c:ptCount val="26"/>
                <c:pt idx="0">
                  <c:v>0</c:v>
                </c:pt>
                <c:pt idx="1">
                  <c:v>0</c:v>
                </c:pt>
                <c:pt idx="2">
                  <c:v>-8294767.7999999998</c:v>
                </c:pt>
                <c:pt idx="3">
                  <c:v>-8294767.7999999998</c:v>
                </c:pt>
                <c:pt idx="4">
                  <c:v>-6733638.7225487977</c:v>
                </c:pt>
                <c:pt idx="5">
                  <c:v>-5209872.0402498376</c:v>
                </c:pt>
                <c:pt idx="6">
                  <c:v>-3722331.8859103853</c:v>
                </c:pt>
                <c:pt idx="7">
                  <c:v>-1822382.9809628283</c:v>
                </c:pt>
                <c:pt idx="8">
                  <c:v>506215.62454453902</c:v>
                </c:pt>
                <c:pt idx="9">
                  <c:v>3237023.099039231</c:v>
                </c:pt>
                <c:pt idx="10">
                  <c:v>6357313.6784610115</c:v>
                </c:pt>
                <c:pt idx="11">
                  <c:v>9842222.0021470673</c:v>
                </c:pt>
                <c:pt idx="12">
                  <c:v>13668001.896760136</c:v>
                </c:pt>
                <c:pt idx="13">
                  <c:v>17811982.190360606</c:v>
                </c:pt>
                <c:pt idx="14">
                  <c:v>22107333.507375166</c:v>
                </c:pt>
                <c:pt idx="15">
                  <c:v>26677985.341685288</c:v>
                </c:pt>
                <c:pt idx="16">
                  <c:v>31504402.702242445</c:v>
                </c:pt>
                <c:pt idx="17">
                  <c:v>36567955.708667628</c:v>
                </c:pt>
                <c:pt idx="18">
                  <c:v>41850883.369110592</c:v>
                </c:pt>
                <c:pt idx="19">
                  <c:v>#N/A</c:v>
                </c:pt>
                <c:pt idx="20">
                  <c:v>#N/A</c:v>
                </c:pt>
                <c:pt idx="21">
                  <c:v>#N/A</c:v>
                </c:pt>
                <c:pt idx="22">
                  <c:v>#N/A</c:v>
                </c:pt>
                <c:pt idx="23">
                  <c:v>#N/A</c:v>
                </c:pt>
                <c:pt idx="24">
                  <c:v>#N/A</c:v>
                </c:pt>
                <c:pt idx="25">
                  <c:v>#N/A</c:v>
                </c:pt>
              </c:numCache>
            </c:numRef>
          </c:val>
          <c:smooth val="0"/>
          <c:extLst>
            <c:ext xmlns:c16="http://schemas.microsoft.com/office/drawing/2014/chart" uri="{C3380CC4-5D6E-409C-BE32-E72D297353CC}">
              <c16:uniqueId val="{00000004-C60C-466A-AB3B-06DBF315132B}"/>
            </c:ext>
          </c:extLst>
        </c:ser>
        <c:dLbls>
          <c:showLegendKey val="0"/>
          <c:showVal val="0"/>
          <c:showCatName val="0"/>
          <c:showSerName val="0"/>
          <c:showPercent val="0"/>
          <c:showBubbleSize val="0"/>
        </c:dLbls>
        <c:marker val="1"/>
        <c:smooth val="0"/>
        <c:axId val="394874176"/>
        <c:axId val="394872736"/>
      </c:lineChart>
      <c:catAx>
        <c:axId val="394874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nl-BE"/>
          </a:p>
        </c:txPr>
        <c:crossAx val="394872736"/>
        <c:crosses val="autoZero"/>
        <c:auto val="1"/>
        <c:lblAlgn val="ctr"/>
        <c:lblOffset val="100"/>
        <c:noMultiLvlLbl val="0"/>
      </c:catAx>
      <c:valAx>
        <c:axId val="39487273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nl-BE"/>
          </a:p>
        </c:txPr>
        <c:crossAx val="394874176"/>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nl-B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400"/>
      </a:pPr>
      <a:endParaRPr lang="nl-B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nl-BE" sz="1600"/>
              <a:t>Verdisconteerde kosten -en opbrengstenbalans</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nl-BE"/>
        </a:p>
      </c:txPr>
    </c:title>
    <c:autoTitleDeleted val="0"/>
    <c:plotArea>
      <c:layout/>
      <c:barChart>
        <c:barDir val="col"/>
        <c:grouping val="clustered"/>
        <c:varyColors val="0"/>
        <c:ser>
          <c:idx val="1"/>
          <c:order val="1"/>
          <c:tx>
            <c:strRef>
              <c:f>'Berekening business case'!$C$318</c:f>
              <c:strCache>
                <c:ptCount val="1"/>
                <c:pt idx="0">
                  <c:v>Verdisconteerde kasstroom</c:v>
                </c:pt>
              </c:strCache>
            </c:strRef>
          </c:tx>
          <c:spPr>
            <a:solidFill>
              <a:schemeClr val="accent4"/>
            </a:solidFill>
            <a:ln>
              <a:noFill/>
            </a:ln>
            <a:effectLst/>
          </c:spPr>
          <c:invertIfNegative val="0"/>
          <c:cat>
            <c:numRef>
              <c:f>'Berekening business case'!$D$143:$Q$143</c:f>
              <c:numCache>
                <c:formatCode>General</c:formatCode>
                <c:ptCount val="14"/>
                <c:pt idx="0">
                  <c:v>-3</c:v>
                </c:pt>
                <c:pt idx="1">
                  <c:v>-2</c:v>
                </c:pt>
                <c:pt idx="2">
                  <c:v>-1</c:v>
                </c:pt>
                <c:pt idx="3">
                  <c:v>0</c:v>
                </c:pt>
                <c:pt idx="4">
                  <c:v>1</c:v>
                </c:pt>
                <c:pt idx="5">
                  <c:v>2</c:v>
                </c:pt>
                <c:pt idx="6">
                  <c:v>3</c:v>
                </c:pt>
                <c:pt idx="7">
                  <c:v>4</c:v>
                </c:pt>
                <c:pt idx="8">
                  <c:v>5</c:v>
                </c:pt>
                <c:pt idx="9">
                  <c:v>6</c:v>
                </c:pt>
                <c:pt idx="10">
                  <c:v>7</c:v>
                </c:pt>
                <c:pt idx="11">
                  <c:v>8</c:v>
                </c:pt>
                <c:pt idx="12">
                  <c:v>9</c:v>
                </c:pt>
                <c:pt idx="13">
                  <c:v>10</c:v>
                </c:pt>
              </c:numCache>
            </c:numRef>
          </c:cat>
          <c:val>
            <c:numRef>
              <c:f>'Berekening business case'!$D$318:$AK$318</c:f>
              <c:numCache>
                <c:formatCode>_-* #,##0.00\ "€"_-;\-* #,##0.00\ "€"_-;_-* "-"??\ "€"_-;_-@_-</c:formatCode>
                <c:ptCount val="34"/>
                <c:pt idx="0">
                  <c:v>0</c:v>
                </c:pt>
                <c:pt idx="1">
                  <c:v>0</c:v>
                </c:pt>
                <c:pt idx="2">
                  <c:v>-8294767.7999999998</c:v>
                </c:pt>
                <c:pt idx="3">
                  <c:v>0</c:v>
                </c:pt>
                <c:pt idx="4">
                  <c:v>1488920.6469571181</c:v>
                </c:pt>
                <c:pt idx="5">
                  <c:v>1455920.8058035949</c:v>
                </c:pt>
                <c:pt idx="6">
                  <c:v>1423874.3656505137</c:v>
                </c:pt>
                <c:pt idx="7">
                  <c:v>1840287.5728244211</c:v>
                </c:pt>
                <c:pt idx="8">
                  <c:v>1915912.5795028065</c:v>
                </c:pt>
                <c:pt idx="9">
                  <c:v>1985822.9388986621</c:v>
                </c:pt>
                <c:pt idx="10">
                  <c:v>2049011.7202494873</c:v>
                </c:pt>
                <c:pt idx="11">
                  <c:v>2107083.490333295</c:v>
                </c:pt>
                <c:pt idx="12">
                  <c:v>2160280.8609390333</c:v>
                </c:pt>
                <c:pt idx="13">
                  <c:v>2208836.6531759305</c:v>
                </c:pt>
                <c:pt idx="14" formatCode="General">
                  <c:v>2107783.6158952187</c:v>
                </c:pt>
                <c:pt idx="15" formatCode="General">
                  <c:v>2160748.8120590923</c:v>
                </c:pt>
                <c:pt idx="16" formatCode="General">
                  <c:v>2209077.3058627215</c:v>
                </c:pt>
                <c:pt idx="17" formatCode="General">
                  <c:v>2252992.4861587351</c:v>
                </c:pt>
                <c:pt idx="18" formatCode="General">
                  <c:v>2292708.6635832866</c:v>
                </c:pt>
                <c:pt idx="19" formatCode="General">
                  <c:v>#N/A</c:v>
                </c:pt>
                <c:pt idx="20" formatCode="General">
                  <c:v>#N/A</c:v>
                </c:pt>
                <c:pt idx="21" formatCode="General">
                  <c:v>#N/A</c:v>
                </c:pt>
                <c:pt idx="22" formatCode="General">
                  <c:v>#N/A</c:v>
                </c:pt>
                <c:pt idx="23" formatCode="General">
                  <c:v>#N/A</c:v>
                </c:pt>
                <c:pt idx="24" formatCode="General">
                  <c:v>#N/A</c:v>
                </c:pt>
                <c:pt idx="25" formatCode="General">
                  <c:v>#N/A</c:v>
                </c:pt>
                <c:pt idx="26" formatCode="General">
                  <c:v>#N/A</c:v>
                </c:pt>
                <c:pt idx="27" formatCode="General">
                  <c:v>#N/A</c:v>
                </c:pt>
                <c:pt idx="28" formatCode="General">
                  <c:v>#N/A</c:v>
                </c:pt>
                <c:pt idx="29" formatCode="General">
                  <c:v>#N/A</c:v>
                </c:pt>
                <c:pt idx="30" formatCode="General">
                  <c:v>#N/A</c:v>
                </c:pt>
                <c:pt idx="31" formatCode="General">
                  <c:v>#N/A</c:v>
                </c:pt>
                <c:pt idx="32" formatCode="General">
                  <c:v>#N/A</c:v>
                </c:pt>
                <c:pt idx="33" formatCode="General">
                  <c:v>#N/A</c:v>
                </c:pt>
              </c:numCache>
            </c:numRef>
          </c:val>
          <c:extLst>
            <c:ext xmlns:c16="http://schemas.microsoft.com/office/drawing/2014/chart" uri="{C3380CC4-5D6E-409C-BE32-E72D297353CC}">
              <c16:uniqueId val="{00000000-82B7-4087-954D-4788C3ACE802}"/>
            </c:ext>
          </c:extLst>
        </c:ser>
        <c:dLbls>
          <c:showLegendKey val="0"/>
          <c:showVal val="0"/>
          <c:showCatName val="0"/>
          <c:showSerName val="0"/>
          <c:showPercent val="0"/>
          <c:showBubbleSize val="0"/>
        </c:dLbls>
        <c:gapWidth val="150"/>
        <c:axId val="1972972160"/>
        <c:axId val="1972972640"/>
      </c:barChart>
      <c:lineChart>
        <c:grouping val="standard"/>
        <c:varyColors val="0"/>
        <c:ser>
          <c:idx val="0"/>
          <c:order val="0"/>
          <c:tx>
            <c:strRef>
              <c:f>'Berekening business case'!$C$314</c:f>
              <c:strCache>
                <c:ptCount val="1"/>
                <c:pt idx="0">
                  <c:v>Verdisconteerde cumulatieve som</c:v>
                </c:pt>
              </c:strCache>
            </c:strRef>
          </c:tx>
          <c:spPr>
            <a:ln w="28575" cap="rnd">
              <a:solidFill>
                <a:srgbClr val="009B48"/>
              </a:solidFill>
              <a:round/>
            </a:ln>
            <a:effectLst/>
          </c:spPr>
          <c:marker>
            <c:symbol val="circle"/>
            <c:size val="5"/>
            <c:spPr>
              <a:solidFill>
                <a:srgbClr val="009B48"/>
              </a:solidFill>
              <a:ln w="9525">
                <a:solidFill>
                  <a:srgbClr val="009B48"/>
                </a:solidFill>
              </a:ln>
              <a:effectLst/>
            </c:spPr>
          </c:marker>
          <c:cat>
            <c:numRef>
              <c:f>'Berekening business case'!$D$143:$AK$143</c:f>
              <c:numCache>
                <c:formatCode>General</c:formatCode>
                <c:ptCount val="34"/>
                <c:pt idx="0">
                  <c:v>-3</c:v>
                </c:pt>
                <c:pt idx="1">
                  <c:v>-2</c:v>
                </c:pt>
                <c:pt idx="2">
                  <c:v>-1</c:v>
                </c:pt>
                <c:pt idx="3">
                  <c:v>0</c:v>
                </c:pt>
                <c:pt idx="4">
                  <c:v>1</c:v>
                </c:pt>
                <c:pt idx="5">
                  <c:v>2</c:v>
                </c:pt>
                <c:pt idx="6">
                  <c:v>3</c:v>
                </c:pt>
                <c:pt idx="7">
                  <c:v>4</c:v>
                </c:pt>
                <c:pt idx="8">
                  <c:v>5</c:v>
                </c:pt>
                <c:pt idx="9">
                  <c:v>6</c:v>
                </c:pt>
                <c:pt idx="10">
                  <c:v>7</c:v>
                </c:pt>
                <c:pt idx="11">
                  <c:v>8</c:v>
                </c:pt>
                <c:pt idx="12">
                  <c:v>9</c:v>
                </c:pt>
                <c:pt idx="13">
                  <c:v>10</c:v>
                </c:pt>
                <c:pt idx="14">
                  <c:v>11</c:v>
                </c:pt>
                <c:pt idx="15">
                  <c:v>12</c:v>
                </c:pt>
                <c:pt idx="16">
                  <c:v>13</c:v>
                </c:pt>
                <c:pt idx="17">
                  <c:v>14</c:v>
                </c:pt>
                <c:pt idx="18">
                  <c:v>15</c:v>
                </c:pt>
                <c:pt idx="19">
                  <c:v>16</c:v>
                </c:pt>
                <c:pt idx="20">
                  <c:v>17</c:v>
                </c:pt>
                <c:pt idx="21">
                  <c:v>18</c:v>
                </c:pt>
                <c:pt idx="22">
                  <c:v>19</c:v>
                </c:pt>
                <c:pt idx="23">
                  <c:v>20</c:v>
                </c:pt>
                <c:pt idx="24">
                  <c:v>21</c:v>
                </c:pt>
                <c:pt idx="25">
                  <c:v>22</c:v>
                </c:pt>
                <c:pt idx="26">
                  <c:v>23</c:v>
                </c:pt>
                <c:pt idx="27">
                  <c:v>24</c:v>
                </c:pt>
                <c:pt idx="28">
                  <c:v>25</c:v>
                </c:pt>
                <c:pt idx="29">
                  <c:v>26</c:v>
                </c:pt>
                <c:pt idx="30">
                  <c:v>27</c:v>
                </c:pt>
                <c:pt idx="31">
                  <c:v>28</c:v>
                </c:pt>
                <c:pt idx="32">
                  <c:v>29</c:v>
                </c:pt>
                <c:pt idx="33">
                  <c:v>30</c:v>
                </c:pt>
              </c:numCache>
            </c:numRef>
          </c:cat>
          <c:val>
            <c:numRef>
              <c:f>'Berekening business case'!$D$314:$AK$314</c:f>
              <c:numCache>
                <c:formatCode>_-* #,##0.00\ "€"_-;\-* #,##0.00\ "€"_-;_-* "-"??\ "€"_-;_-@_-</c:formatCode>
                <c:ptCount val="34"/>
                <c:pt idx="0">
                  <c:v>0</c:v>
                </c:pt>
                <c:pt idx="1">
                  <c:v>0</c:v>
                </c:pt>
                <c:pt idx="2">
                  <c:v>-8294767.7999999998</c:v>
                </c:pt>
                <c:pt idx="3">
                  <c:v>-8294767.7999999998</c:v>
                </c:pt>
                <c:pt idx="4">
                  <c:v>-6805847.1530428817</c:v>
                </c:pt>
                <c:pt idx="5">
                  <c:v>-5349926.3472392866</c:v>
                </c:pt>
                <c:pt idx="6">
                  <c:v>-3926051.981588773</c:v>
                </c:pt>
                <c:pt idx="7">
                  <c:v>-2085764.4087643519</c:v>
                </c:pt>
                <c:pt idx="8">
                  <c:v>-169851.82926154532</c:v>
                </c:pt>
                <c:pt idx="9">
                  <c:v>1815971.1096371168</c:v>
                </c:pt>
                <c:pt idx="10">
                  <c:v>3864982.8298866041</c:v>
                </c:pt>
                <c:pt idx="11">
                  <c:v>5972066.3202198986</c:v>
                </c:pt>
                <c:pt idx="12">
                  <c:v>8132347.1811589319</c:v>
                </c:pt>
                <c:pt idx="13">
                  <c:v>10341183.834334861</c:v>
                </c:pt>
                <c:pt idx="14">
                  <c:v>12448967.450230081</c:v>
                </c:pt>
                <c:pt idx="15">
                  <c:v>14609716.262289174</c:v>
                </c:pt>
                <c:pt idx="16">
                  <c:v>16818793.568151895</c:v>
                </c:pt>
                <c:pt idx="17">
                  <c:v>19071786.054310631</c:v>
                </c:pt>
                <c:pt idx="18">
                  <c:v>21364494.717893917</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numCache>
            </c:numRef>
          </c:val>
          <c:smooth val="0"/>
          <c:extLst>
            <c:ext xmlns:c16="http://schemas.microsoft.com/office/drawing/2014/chart" uri="{C3380CC4-5D6E-409C-BE32-E72D297353CC}">
              <c16:uniqueId val="{00000001-82B7-4087-954D-4788C3ACE802}"/>
            </c:ext>
          </c:extLst>
        </c:ser>
        <c:dLbls>
          <c:showLegendKey val="0"/>
          <c:showVal val="0"/>
          <c:showCatName val="0"/>
          <c:showSerName val="0"/>
          <c:showPercent val="0"/>
          <c:showBubbleSize val="0"/>
        </c:dLbls>
        <c:marker val="1"/>
        <c:smooth val="0"/>
        <c:axId val="1972972160"/>
        <c:axId val="1972972640"/>
      </c:lineChart>
      <c:catAx>
        <c:axId val="1972972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nl-BE"/>
          </a:p>
        </c:txPr>
        <c:crossAx val="1972972640"/>
        <c:crosses val="autoZero"/>
        <c:auto val="1"/>
        <c:lblAlgn val="ctr"/>
        <c:lblOffset val="100"/>
        <c:noMultiLvlLbl val="0"/>
      </c:catAx>
      <c:valAx>
        <c:axId val="1972972640"/>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nl-BE"/>
          </a:p>
        </c:txPr>
        <c:crossAx val="19729721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B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B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BE"/>
              <a:t>Verdisconteerde kosten -en opbrengstenbalans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BE"/>
        </a:p>
      </c:txPr>
    </c:title>
    <c:autoTitleDeleted val="0"/>
    <c:plotArea>
      <c:layout/>
      <c:barChart>
        <c:barDir val="col"/>
        <c:grouping val="clustered"/>
        <c:varyColors val="0"/>
        <c:ser>
          <c:idx val="1"/>
          <c:order val="1"/>
          <c:tx>
            <c:strRef>
              <c:f>'Berekening business case'!$C$318</c:f>
              <c:strCache>
                <c:ptCount val="1"/>
                <c:pt idx="0">
                  <c:v>Verdisconteerde kasstroom</c:v>
                </c:pt>
              </c:strCache>
            </c:strRef>
          </c:tx>
          <c:spPr>
            <a:solidFill>
              <a:schemeClr val="accent4"/>
            </a:solidFill>
            <a:ln>
              <a:noFill/>
            </a:ln>
            <a:effectLst/>
          </c:spPr>
          <c:invertIfNegative val="0"/>
          <c:cat>
            <c:numRef>
              <c:f>'Berekening business case'!$D$143:$Q$143</c:f>
              <c:numCache>
                <c:formatCode>General</c:formatCode>
                <c:ptCount val="14"/>
                <c:pt idx="0">
                  <c:v>-3</c:v>
                </c:pt>
                <c:pt idx="1">
                  <c:v>-2</c:v>
                </c:pt>
                <c:pt idx="2">
                  <c:v>-1</c:v>
                </c:pt>
                <c:pt idx="3">
                  <c:v>0</c:v>
                </c:pt>
                <c:pt idx="4">
                  <c:v>1</c:v>
                </c:pt>
                <c:pt idx="5">
                  <c:v>2</c:v>
                </c:pt>
                <c:pt idx="6">
                  <c:v>3</c:v>
                </c:pt>
                <c:pt idx="7">
                  <c:v>4</c:v>
                </c:pt>
                <c:pt idx="8">
                  <c:v>5</c:v>
                </c:pt>
                <c:pt idx="9">
                  <c:v>6</c:v>
                </c:pt>
                <c:pt idx="10">
                  <c:v>7</c:v>
                </c:pt>
                <c:pt idx="11">
                  <c:v>8</c:v>
                </c:pt>
                <c:pt idx="12">
                  <c:v>9</c:v>
                </c:pt>
                <c:pt idx="13">
                  <c:v>10</c:v>
                </c:pt>
              </c:numCache>
            </c:numRef>
          </c:cat>
          <c:val>
            <c:numRef>
              <c:f>'Berekening business case'!$D$318:$AK$318</c:f>
              <c:numCache>
                <c:formatCode>_-* #,##0.00\ "€"_-;\-* #,##0.00\ "€"_-;_-* "-"??\ "€"_-;_-@_-</c:formatCode>
                <c:ptCount val="34"/>
                <c:pt idx="0">
                  <c:v>0</c:v>
                </c:pt>
                <c:pt idx="1">
                  <c:v>0</c:v>
                </c:pt>
                <c:pt idx="2">
                  <c:v>-8294767.7999999998</c:v>
                </c:pt>
                <c:pt idx="3">
                  <c:v>0</c:v>
                </c:pt>
                <c:pt idx="4">
                  <c:v>1488920.6469571181</c:v>
                </c:pt>
                <c:pt idx="5">
                  <c:v>1455920.8058035949</c:v>
                </c:pt>
                <c:pt idx="6">
                  <c:v>1423874.3656505137</c:v>
                </c:pt>
                <c:pt idx="7">
                  <c:v>1840287.5728244211</c:v>
                </c:pt>
                <c:pt idx="8">
                  <c:v>1915912.5795028065</c:v>
                </c:pt>
                <c:pt idx="9">
                  <c:v>1985822.9388986621</c:v>
                </c:pt>
                <c:pt idx="10">
                  <c:v>2049011.7202494873</c:v>
                </c:pt>
                <c:pt idx="11">
                  <c:v>2107083.490333295</c:v>
                </c:pt>
                <c:pt idx="12">
                  <c:v>2160280.8609390333</c:v>
                </c:pt>
                <c:pt idx="13">
                  <c:v>2208836.6531759305</c:v>
                </c:pt>
                <c:pt idx="14" formatCode="General">
                  <c:v>2107783.6158952187</c:v>
                </c:pt>
                <c:pt idx="15" formatCode="General">
                  <c:v>2160748.8120590923</c:v>
                </c:pt>
                <c:pt idx="16" formatCode="General">
                  <c:v>2209077.3058627215</c:v>
                </c:pt>
                <c:pt idx="17" formatCode="General">
                  <c:v>2252992.4861587351</c:v>
                </c:pt>
                <c:pt idx="18" formatCode="General">
                  <c:v>2292708.6635832866</c:v>
                </c:pt>
                <c:pt idx="19" formatCode="General">
                  <c:v>#N/A</c:v>
                </c:pt>
                <c:pt idx="20" formatCode="General">
                  <c:v>#N/A</c:v>
                </c:pt>
                <c:pt idx="21" formatCode="General">
                  <c:v>#N/A</c:v>
                </c:pt>
                <c:pt idx="22" formatCode="General">
                  <c:v>#N/A</c:v>
                </c:pt>
                <c:pt idx="23" formatCode="General">
                  <c:v>#N/A</c:v>
                </c:pt>
                <c:pt idx="24" formatCode="General">
                  <c:v>#N/A</c:v>
                </c:pt>
                <c:pt idx="25" formatCode="General">
                  <c:v>#N/A</c:v>
                </c:pt>
                <c:pt idx="26" formatCode="General">
                  <c:v>#N/A</c:v>
                </c:pt>
                <c:pt idx="27" formatCode="General">
                  <c:v>#N/A</c:v>
                </c:pt>
                <c:pt idx="28" formatCode="General">
                  <c:v>#N/A</c:v>
                </c:pt>
                <c:pt idx="29" formatCode="General">
                  <c:v>#N/A</c:v>
                </c:pt>
                <c:pt idx="30" formatCode="General">
                  <c:v>#N/A</c:v>
                </c:pt>
                <c:pt idx="31" formatCode="General">
                  <c:v>#N/A</c:v>
                </c:pt>
                <c:pt idx="32" formatCode="General">
                  <c:v>#N/A</c:v>
                </c:pt>
                <c:pt idx="33" formatCode="General">
                  <c:v>#N/A</c:v>
                </c:pt>
              </c:numCache>
            </c:numRef>
          </c:val>
          <c:extLst>
            <c:ext xmlns:c16="http://schemas.microsoft.com/office/drawing/2014/chart" uri="{C3380CC4-5D6E-409C-BE32-E72D297353CC}">
              <c16:uniqueId val="{00000000-B90D-4B31-A8CF-76B28F9DF49C}"/>
            </c:ext>
          </c:extLst>
        </c:ser>
        <c:dLbls>
          <c:showLegendKey val="0"/>
          <c:showVal val="0"/>
          <c:showCatName val="0"/>
          <c:showSerName val="0"/>
          <c:showPercent val="0"/>
          <c:showBubbleSize val="0"/>
        </c:dLbls>
        <c:gapWidth val="150"/>
        <c:axId val="1972972160"/>
        <c:axId val="1972972640"/>
      </c:barChart>
      <c:lineChart>
        <c:grouping val="standard"/>
        <c:varyColors val="0"/>
        <c:ser>
          <c:idx val="0"/>
          <c:order val="0"/>
          <c:tx>
            <c:strRef>
              <c:f>'Berekening business case'!$C$314</c:f>
              <c:strCache>
                <c:ptCount val="1"/>
                <c:pt idx="0">
                  <c:v>Verdisconteerde cumulatieve som</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'Berekening business case'!$D$143:$AK$143</c:f>
              <c:numCache>
                <c:formatCode>General</c:formatCode>
                <c:ptCount val="34"/>
                <c:pt idx="0">
                  <c:v>-3</c:v>
                </c:pt>
                <c:pt idx="1">
                  <c:v>-2</c:v>
                </c:pt>
                <c:pt idx="2">
                  <c:v>-1</c:v>
                </c:pt>
                <c:pt idx="3">
                  <c:v>0</c:v>
                </c:pt>
                <c:pt idx="4">
                  <c:v>1</c:v>
                </c:pt>
                <c:pt idx="5">
                  <c:v>2</c:v>
                </c:pt>
                <c:pt idx="6">
                  <c:v>3</c:v>
                </c:pt>
                <c:pt idx="7">
                  <c:v>4</c:v>
                </c:pt>
                <c:pt idx="8">
                  <c:v>5</c:v>
                </c:pt>
                <c:pt idx="9">
                  <c:v>6</c:v>
                </c:pt>
                <c:pt idx="10">
                  <c:v>7</c:v>
                </c:pt>
                <c:pt idx="11">
                  <c:v>8</c:v>
                </c:pt>
                <c:pt idx="12">
                  <c:v>9</c:v>
                </c:pt>
                <c:pt idx="13">
                  <c:v>10</c:v>
                </c:pt>
                <c:pt idx="14">
                  <c:v>11</c:v>
                </c:pt>
                <c:pt idx="15">
                  <c:v>12</c:v>
                </c:pt>
                <c:pt idx="16">
                  <c:v>13</c:v>
                </c:pt>
                <c:pt idx="17">
                  <c:v>14</c:v>
                </c:pt>
                <c:pt idx="18">
                  <c:v>15</c:v>
                </c:pt>
                <c:pt idx="19">
                  <c:v>16</c:v>
                </c:pt>
                <c:pt idx="20">
                  <c:v>17</c:v>
                </c:pt>
                <c:pt idx="21">
                  <c:v>18</c:v>
                </c:pt>
                <c:pt idx="22">
                  <c:v>19</c:v>
                </c:pt>
                <c:pt idx="23">
                  <c:v>20</c:v>
                </c:pt>
                <c:pt idx="24">
                  <c:v>21</c:v>
                </c:pt>
                <c:pt idx="25">
                  <c:v>22</c:v>
                </c:pt>
                <c:pt idx="26">
                  <c:v>23</c:v>
                </c:pt>
                <c:pt idx="27">
                  <c:v>24</c:v>
                </c:pt>
                <c:pt idx="28">
                  <c:v>25</c:v>
                </c:pt>
                <c:pt idx="29">
                  <c:v>26</c:v>
                </c:pt>
                <c:pt idx="30">
                  <c:v>27</c:v>
                </c:pt>
                <c:pt idx="31">
                  <c:v>28</c:v>
                </c:pt>
                <c:pt idx="32">
                  <c:v>29</c:v>
                </c:pt>
                <c:pt idx="33">
                  <c:v>30</c:v>
                </c:pt>
              </c:numCache>
            </c:numRef>
          </c:cat>
          <c:val>
            <c:numRef>
              <c:f>'Berekening business case'!$D$314:$AK$314</c:f>
              <c:numCache>
                <c:formatCode>_-* #,##0.00\ "€"_-;\-* #,##0.00\ "€"_-;_-* "-"??\ "€"_-;_-@_-</c:formatCode>
                <c:ptCount val="34"/>
                <c:pt idx="0">
                  <c:v>0</c:v>
                </c:pt>
                <c:pt idx="1">
                  <c:v>0</c:v>
                </c:pt>
                <c:pt idx="2">
                  <c:v>-8294767.7999999998</c:v>
                </c:pt>
                <c:pt idx="3">
                  <c:v>-8294767.7999999998</c:v>
                </c:pt>
                <c:pt idx="4">
                  <c:v>-6805847.1530428817</c:v>
                </c:pt>
                <c:pt idx="5">
                  <c:v>-5349926.3472392866</c:v>
                </c:pt>
                <c:pt idx="6">
                  <c:v>-3926051.981588773</c:v>
                </c:pt>
                <c:pt idx="7">
                  <c:v>-2085764.4087643519</c:v>
                </c:pt>
                <c:pt idx="8">
                  <c:v>-169851.82926154532</c:v>
                </c:pt>
                <c:pt idx="9">
                  <c:v>1815971.1096371168</c:v>
                </c:pt>
                <c:pt idx="10">
                  <c:v>3864982.8298866041</c:v>
                </c:pt>
                <c:pt idx="11">
                  <c:v>5972066.3202198986</c:v>
                </c:pt>
                <c:pt idx="12">
                  <c:v>8132347.1811589319</c:v>
                </c:pt>
                <c:pt idx="13">
                  <c:v>10341183.834334861</c:v>
                </c:pt>
                <c:pt idx="14">
                  <c:v>12448967.450230081</c:v>
                </c:pt>
                <c:pt idx="15">
                  <c:v>14609716.262289174</c:v>
                </c:pt>
                <c:pt idx="16">
                  <c:v>16818793.568151895</c:v>
                </c:pt>
                <c:pt idx="17">
                  <c:v>19071786.054310631</c:v>
                </c:pt>
                <c:pt idx="18">
                  <c:v>21364494.717893917</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numCache>
            </c:numRef>
          </c:val>
          <c:smooth val="0"/>
          <c:extLst>
            <c:ext xmlns:c16="http://schemas.microsoft.com/office/drawing/2014/chart" uri="{C3380CC4-5D6E-409C-BE32-E72D297353CC}">
              <c16:uniqueId val="{00000001-B90D-4B31-A8CF-76B28F9DF49C}"/>
            </c:ext>
          </c:extLst>
        </c:ser>
        <c:dLbls>
          <c:showLegendKey val="0"/>
          <c:showVal val="0"/>
          <c:showCatName val="0"/>
          <c:showSerName val="0"/>
          <c:showPercent val="0"/>
          <c:showBubbleSize val="0"/>
        </c:dLbls>
        <c:marker val="1"/>
        <c:smooth val="0"/>
        <c:axId val="1972972160"/>
        <c:axId val="1972972640"/>
      </c:lineChart>
      <c:catAx>
        <c:axId val="1972972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1972972640"/>
        <c:crosses val="autoZero"/>
        <c:auto val="1"/>
        <c:lblAlgn val="ctr"/>
        <c:lblOffset val="100"/>
        <c:noMultiLvlLbl val="0"/>
      </c:catAx>
      <c:valAx>
        <c:axId val="1972972640"/>
        <c:scaling>
          <c:orientation val="minMax"/>
        </c:scaling>
        <c:delete val="0"/>
        <c:axPos val="l"/>
        <c:majorGridlines>
          <c:spPr>
            <a:ln w="9525" cap="flat" cmpd="sng" algn="ctr">
              <a:solidFill>
                <a:schemeClr val="tx1">
                  <a:lumMod val="15000"/>
                  <a:lumOff val="85000"/>
                </a:schemeClr>
              </a:solidFill>
              <a:round/>
            </a:ln>
            <a:effectLst/>
          </c:spPr>
        </c:majorGridlines>
        <c:numFmt formatCode="_-* #,##0.00\ &quot;€&quot;_-;\-* #,##0.00\ &quot;€&quot;_-;_-* &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19729721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B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BE"/>
              <a:t>Gevoeligheidsanalyse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BE"/>
        </a:p>
      </c:txPr>
    </c:title>
    <c:autoTitleDeleted val="0"/>
    <c:plotArea>
      <c:layout/>
      <c:areaChart>
        <c:grouping val="stacked"/>
        <c:varyColors val="0"/>
        <c:ser>
          <c:idx val="1"/>
          <c:order val="1"/>
          <c:tx>
            <c:strRef>
              <c:f>'Berekening business case'!$C$315</c:f>
              <c:strCache>
                <c:ptCount val="1"/>
                <c:pt idx="0">
                  <c:v>SCENARIO: Gas gunstig shade</c:v>
                </c:pt>
              </c:strCache>
            </c:strRef>
          </c:tx>
          <c:spPr>
            <a:noFill/>
            <a:ln>
              <a:noFill/>
            </a:ln>
            <a:effectLst/>
          </c:spPr>
          <c:cat>
            <c:numRef>
              <c:f>'Berekening business case'!$D$313:$AK$313</c:f>
              <c:numCache>
                <c:formatCode>General</c:formatCode>
                <c:ptCount val="34"/>
                <c:pt idx="0">
                  <c:v>-3</c:v>
                </c:pt>
                <c:pt idx="1">
                  <c:v>-2</c:v>
                </c:pt>
                <c:pt idx="2">
                  <c:v>-1</c:v>
                </c:pt>
                <c:pt idx="3">
                  <c:v>0</c:v>
                </c:pt>
                <c:pt idx="4">
                  <c:v>1</c:v>
                </c:pt>
                <c:pt idx="5">
                  <c:v>2</c:v>
                </c:pt>
                <c:pt idx="6">
                  <c:v>3</c:v>
                </c:pt>
                <c:pt idx="7">
                  <c:v>4</c:v>
                </c:pt>
                <c:pt idx="8">
                  <c:v>5</c:v>
                </c:pt>
                <c:pt idx="9">
                  <c:v>6</c:v>
                </c:pt>
                <c:pt idx="10">
                  <c:v>7</c:v>
                </c:pt>
                <c:pt idx="11">
                  <c:v>8</c:v>
                </c:pt>
                <c:pt idx="12">
                  <c:v>9</c:v>
                </c:pt>
                <c:pt idx="13">
                  <c:v>10</c:v>
                </c:pt>
                <c:pt idx="14">
                  <c:v>11</c:v>
                </c:pt>
                <c:pt idx="15">
                  <c:v>12</c:v>
                </c:pt>
                <c:pt idx="16">
                  <c:v>13</c:v>
                </c:pt>
                <c:pt idx="17">
                  <c:v>14</c:v>
                </c:pt>
                <c:pt idx="18">
                  <c:v>15</c:v>
                </c:pt>
                <c:pt idx="19">
                  <c:v>16</c:v>
                </c:pt>
                <c:pt idx="20">
                  <c:v>17</c:v>
                </c:pt>
                <c:pt idx="21">
                  <c:v>18</c:v>
                </c:pt>
                <c:pt idx="22">
                  <c:v>19</c:v>
                </c:pt>
                <c:pt idx="23">
                  <c:v>20</c:v>
                </c:pt>
                <c:pt idx="24">
                  <c:v>21</c:v>
                </c:pt>
                <c:pt idx="25">
                  <c:v>22</c:v>
                </c:pt>
                <c:pt idx="26">
                  <c:v>23</c:v>
                </c:pt>
                <c:pt idx="27">
                  <c:v>24</c:v>
                </c:pt>
                <c:pt idx="28">
                  <c:v>25</c:v>
                </c:pt>
                <c:pt idx="29">
                  <c:v>26</c:v>
                </c:pt>
                <c:pt idx="30">
                  <c:v>27</c:v>
                </c:pt>
                <c:pt idx="31">
                  <c:v>28</c:v>
                </c:pt>
                <c:pt idx="32">
                  <c:v>29</c:v>
                </c:pt>
                <c:pt idx="33">
                  <c:v>30</c:v>
                </c:pt>
              </c:numCache>
            </c:numRef>
          </c:cat>
          <c:val>
            <c:numRef>
              <c:f>'Berekening business case'!$D$315:$AK$315</c:f>
              <c:numCache>
                <c:formatCode>_-* #,##0.00\ "€"_-;\-* #,##0.00\ "€"_-;_-* "-"??\ "€"_-;_-@_-</c:formatCode>
                <c:ptCount val="34"/>
                <c:pt idx="0">
                  <c:v>0</c:v>
                </c:pt>
                <c:pt idx="1">
                  <c:v>0</c:v>
                </c:pt>
                <c:pt idx="2">
                  <c:v>-8294767.7999999998</c:v>
                </c:pt>
                <c:pt idx="3">
                  <c:v>-8294767.7999999998</c:v>
                </c:pt>
                <c:pt idx="4">
                  <c:v>-7348511.2059780089</c:v>
                </c:pt>
                <c:pt idx="5">
                  <c:v>-6415649.306756285</c:v>
                </c:pt>
                <c:pt idx="6">
                  <c:v>-5503174.7345195776</c:v>
                </c:pt>
                <c:pt idx="7">
                  <c:v>-4354734.5660980921</c:v>
                </c:pt>
                <c:pt idx="8">
                  <c:v>-3046764.169434906</c:v>
                </c:pt>
                <c:pt idx="9">
                  <c:v>-1589366.4327383351</c:v>
                </c:pt>
                <c:pt idx="10">
                  <c:v>-51948.440852375701</c:v>
                </c:pt>
                <c:pt idx="11">
                  <c:v>1559772.1029900096</c:v>
                </c:pt>
                <c:pt idx="12">
                  <c:v>3240341.5222703246</c:v>
                </c:pt>
                <c:pt idx="13">
                  <c:v>4984559.6309148241</c:v>
                </c:pt>
                <c:pt idx="14">
                  <c:v>6642278.9408107828</c:v>
                </c:pt>
                <c:pt idx="15">
                  <c:v>8366998.2802098412</c:v>
                </c:pt>
                <c:pt idx="16">
                  <c:v>10153580.12295212</c:v>
                </c:pt>
                <c:pt idx="17">
                  <c:v>11997128.264022177</c:v>
                </c:pt>
                <c:pt idx="18">
                  <c:v>13892978.114371937</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numCache>
            </c:numRef>
          </c:val>
          <c:extLst>
            <c:ext xmlns:c16="http://schemas.microsoft.com/office/drawing/2014/chart" uri="{C3380CC4-5D6E-409C-BE32-E72D297353CC}">
              <c16:uniqueId val="{00000000-F582-4E71-9579-1E81B1B7C4C8}"/>
            </c:ext>
          </c:extLst>
        </c:ser>
        <c:ser>
          <c:idx val="2"/>
          <c:order val="2"/>
          <c:tx>
            <c:strRef>
              <c:f>'Berekening business case'!$C$316</c:f>
              <c:strCache>
                <c:ptCount val="1"/>
                <c:pt idx="0">
                  <c:v>SCENARIO: Elektrisch gunstig shade</c:v>
                </c:pt>
              </c:strCache>
            </c:strRef>
          </c:tx>
          <c:spPr>
            <a:solidFill>
              <a:schemeClr val="tx2">
                <a:lumMod val="20000"/>
                <a:lumOff val="80000"/>
              </a:schemeClr>
            </a:solidFill>
            <a:ln w="25400">
              <a:noFill/>
            </a:ln>
            <a:effectLst/>
          </c:spPr>
          <c:cat>
            <c:numRef>
              <c:f>'Berekening business case'!$D$313:$AK$313</c:f>
              <c:numCache>
                <c:formatCode>General</c:formatCode>
                <c:ptCount val="34"/>
                <c:pt idx="0">
                  <c:v>-3</c:v>
                </c:pt>
                <c:pt idx="1">
                  <c:v>-2</c:v>
                </c:pt>
                <c:pt idx="2">
                  <c:v>-1</c:v>
                </c:pt>
                <c:pt idx="3">
                  <c:v>0</c:v>
                </c:pt>
                <c:pt idx="4">
                  <c:v>1</c:v>
                </c:pt>
                <c:pt idx="5">
                  <c:v>2</c:v>
                </c:pt>
                <c:pt idx="6">
                  <c:v>3</c:v>
                </c:pt>
                <c:pt idx="7">
                  <c:v>4</c:v>
                </c:pt>
                <c:pt idx="8">
                  <c:v>5</c:v>
                </c:pt>
                <c:pt idx="9">
                  <c:v>6</c:v>
                </c:pt>
                <c:pt idx="10">
                  <c:v>7</c:v>
                </c:pt>
                <c:pt idx="11">
                  <c:v>8</c:v>
                </c:pt>
                <c:pt idx="12">
                  <c:v>9</c:v>
                </c:pt>
                <c:pt idx="13">
                  <c:v>10</c:v>
                </c:pt>
                <c:pt idx="14">
                  <c:v>11</c:v>
                </c:pt>
                <c:pt idx="15">
                  <c:v>12</c:v>
                </c:pt>
                <c:pt idx="16">
                  <c:v>13</c:v>
                </c:pt>
                <c:pt idx="17">
                  <c:v>14</c:v>
                </c:pt>
                <c:pt idx="18">
                  <c:v>15</c:v>
                </c:pt>
                <c:pt idx="19">
                  <c:v>16</c:v>
                </c:pt>
                <c:pt idx="20">
                  <c:v>17</c:v>
                </c:pt>
                <c:pt idx="21">
                  <c:v>18</c:v>
                </c:pt>
                <c:pt idx="22">
                  <c:v>19</c:v>
                </c:pt>
                <c:pt idx="23">
                  <c:v>20</c:v>
                </c:pt>
                <c:pt idx="24">
                  <c:v>21</c:v>
                </c:pt>
                <c:pt idx="25">
                  <c:v>22</c:v>
                </c:pt>
                <c:pt idx="26">
                  <c:v>23</c:v>
                </c:pt>
                <c:pt idx="27">
                  <c:v>24</c:v>
                </c:pt>
                <c:pt idx="28">
                  <c:v>25</c:v>
                </c:pt>
                <c:pt idx="29">
                  <c:v>26</c:v>
                </c:pt>
                <c:pt idx="30">
                  <c:v>27</c:v>
                </c:pt>
                <c:pt idx="31">
                  <c:v>28</c:v>
                </c:pt>
                <c:pt idx="32">
                  <c:v>29</c:v>
                </c:pt>
                <c:pt idx="33">
                  <c:v>30</c:v>
                </c:pt>
              </c:numCache>
            </c:numRef>
          </c:cat>
          <c:val>
            <c:numRef>
              <c:f>'Berekening business case'!$D$317:$AK$317</c:f>
              <c:numCache>
                <c:formatCode>_-* #,##0.00\ "€"_-;\-* #,##0.00\ "€"_-;_-* "-"??\ "€"_-;_-@_-</c:formatCode>
                <c:ptCount val="34"/>
                <c:pt idx="0">
                  <c:v>0</c:v>
                </c:pt>
                <c:pt idx="1">
                  <c:v>0</c:v>
                </c:pt>
                <c:pt idx="2">
                  <c:v>0</c:v>
                </c:pt>
                <c:pt idx="3">
                  <c:v>0</c:v>
                </c:pt>
                <c:pt idx="4">
                  <c:v>614872.48342921119</c:v>
                </c:pt>
                <c:pt idx="5">
                  <c:v>1205777.2665064475</c:v>
                </c:pt>
                <c:pt idx="6">
                  <c:v>1780842.8486091923</c:v>
                </c:pt>
                <c:pt idx="7">
                  <c:v>2532351.5851352639</c:v>
                </c:pt>
                <c:pt idx="8">
                  <c:v>3552979.793979445</c:v>
                </c:pt>
                <c:pt idx="9">
                  <c:v>4826389.5317775663</c:v>
                </c:pt>
                <c:pt idx="10">
                  <c:v>6409262.1193133872</c:v>
                </c:pt>
                <c:pt idx="11">
                  <c:v>8282449.8991570575</c:v>
                </c:pt>
                <c:pt idx="12">
                  <c:v>10427660.37448981</c:v>
                </c:pt>
                <c:pt idx="13">
                  <c:v>12827422.559445782</c:v>
                </c:pt>
                <c:pt idx="14">
                  <c:v>15465054.566564383</c:v>
                </c:pt>
                <c:pt idx="15">
                  <c:v>18310987.061475448</c:v>
                </c:pt>
                <c:pt idx="16">
                  <c:v>21350822.579290323</c:v>
                </c:pt>
                <c:pt idx="17">
                  <c:v>24570827.44464545</c:v>
                </c:pt>
                <c:pt idx="18">
                  <c:v>27957905.254738655</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numCache>
            </c:numRef>
          </c:val>
          <c:extLst>
            <c:ext xmlns:c16="http://schemas.microsoft.com/office/drawing/2014/chart" uri="{C3380CC4-5D6E-409C-BE32-E72D297353CC}">
              <c16:uniqueId val="{00000001-F582-4E71-9579-1E81B1B7C4C8}"/>
            </c:ext>
          </c:extLst>
        </c:ser>
        <c:dLbls>
          <c:showLegendKey val="0"/>
          <c:showVal val="0"/>
          <c:showCatName val="0"/>
          <c:showSerName val="0"/>
          <c:showPercent val="0"/>
          <c:showBubbleSize val="0"/>
        </c:dLbls>
        <c:axId val="394874176"/>
        <c:axId val="394872736"/>
      </c:areaChart>
      <c:lineChart>
        <c:grouping val="standard"/>
        <c:varyColors val="0"/>
        <c:ser>
          <c:idx val="0"/>
          <c:order val="0"/>
          <c:tx>
            <c:strRef>
              <c:f>'Berekening business case'!$C$314</c:f>
              <c:strCache>
                <c:ptCount val="1"/>
                <c:pt idx="0">
                  <c:v>Verdisconteerde cumulatieve som</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'Berekening business case'!$D$313:$AK$313</c:f>
              <c:numCache>
                <c:formatCode>General</c:formatCode>
                <c:ptCount val="34"/>
                <c:pt idx="0">
                  <c:v>-3</c:v>
                </c:pt>
                <c:pt idx="1">
                  <c:v>-2</c:v>
                </c:pt>
                <c:pt idx="2">
                  <c:v>-1</c:v>
                </c:pt>
                <c:pt idx="3">
                  <c:v>0</c:v>
                </c:pt>
                <c:pt idx="4">
                  <c:v>1</c:v>
                </c:pt>
                <c:pt idx="5">
                  <c:v>2</c:v>
                </c:pt>
                <c:pt idx="6">
                  <c:v>3</c:v>
                </c:pt>
                <c:pt idx="7">
                  <c:v>4</c:v>
                </c:pt>
                <c:pt idx="8">
                  <c:v>5</c:v>
                </c:pt>
                <c:pt idx="9">
                  <c:v>6</c:v>
                </c:pt>
                <c:pt idx="10">
                  <c:v>7</c:v>
                </c:pt>
                <c:pt idx="11">
                  <c:v>8</c:v>
                </c:pt>
                <c:pt idx="12">
                  <c:v>9</c:v>
                </c:pt>
                <c:pt idx="13">
                  <c:v>10</c:v>
                </c:pt>
                <c:pt idx="14">
                  <c:v>11</c:v>
                </c:pt>
                <c:pt idx="15">
                  <c:v>12</c:v>
                </c:pt>
                <c:pt idx="16">
                  <c:v>13</c:v>
                </c:pt>
                <c:pt idx="17">
                  <c:v>14</c:v>
                </c:pt>
                <c:pt idx="18">
                  <c:v>15</c:v>
                </c:pt>
                <c:pt idx="19">
                  <c:v>16</c:v>
                </c:pt>
                <c:pt idx="20">
                  <c:v>17</c:v>
                </c:pt>
                <c:pt idx="21">
                  <c:v>18</c:v>
                </c:pt>
                <c:pt idx="22">
                  <c:v>19</c:v>
                </c:pt>
                <c:pt idx="23">
                  <c:v>20</c:v>
                </c:pt>
                <c:pt idx="24">
                  <c:v>21</c:v>
                </c:pt>
                <c:pt idx="25">
                  <c:v>22</c:v>
                </c:pt>
                <c:pt idx="26">
                  <c:v>23</c:v>
                </c:pt>
                <c:pt idx="27">
                  <c:v>24</c:v>
                </c:pt>
                <c:pt idx="28">
                  <c:v>25</c:v>
                </c:pt>
                <c:pt idx="29">
                  <c:v>26</c:v>
                </c:pt>
                <c:pt idx="30">
                  <c:v>27</c:v>
                </c:pt>
                <c:pt idx="31">
                  <c:v>28</c:v>
                </c:pt>
                <c:pt idx="32">
                  <c:v>29</c:v>
                </c:pt>
                <c:pt idx="33">
                  <c:v>30</c:v>
                </c:pt>
              </c:numCache>
            </c:numRef>
          </c:cat>
          <c:val>
            <c:numRef>
              <c:f>'Berekening business case'!$D$314:$AK$314</c:f>
              <c:numCache>
                <c:formatCode>_-* #,##0.00\ "€"_-;\-* #,##0.00\ "€"_-;_-* "-"??\ "€"_-;_-@_-</c:formatCode>
                <c:ptCount val="34"/>
                <c:pt idx="0">
                  <c:v>0</c:v>
                </c:pt>
                <c:pt idx="1">
                  <c:v>0</c:v>
                </c:pt>
                <c:pt idx="2">
                  <c:v>-8294767.7999999998</c:v>
                </c:pt>
                <c:pt idx="3">
                  <c:v>-8294767.7999999998</c:v>
                </c:pt>
                <c:pt idx="4">
                  <c:v>-6805847.1530428817</c:v>
                </c:pt>
                <c:pt idx="5">
                  <c:v>-5349926.3472392866</c:v>
                </c:pt>
                <c:pt idx="6">
                  <c:v>-3926051.981588773</c:v>
                </c:pt>
                <c:pt idx="7">
                  <c:v>-2085764.4087643519</c:v>
                </c:pt>
                <c:pt idx="8">
                  <c:v>-169851.82926154532</c:v>
                </c:pt>
                <c:pt idx="9">
                  <c:v>1815971.1096371168</c:v>
                </c:pt>
                <c:pt idx="10">
                  <c:v>3864982.8298866041</c:v>
                </c:pt>
                <c:pt idx="11">
                  <c:v>5972066.3202198986</c:v>
                </c:pt>
                <c:pt idx="12">
                  <c:v>8132347.1811589319</c:v>
                </c:pt>
                <c:pt idx="13">
                  <c:v>10341183.834334861</c:v>
                </c:pt>
                <c:pt idx="14">
                  <c:v>12448967.450230081</c:v>
                </c:pt>
                <c:pt idx="15">
                  <c:v>14609716.262289174</c:v>
                </c:pt>
                <c:pt idx="16">
                  <c:v>16818793.568151895</c:v>
                </c:pt>
                <c:pt idx="17">
                  <c:v>19071786.054310631</c:v>
                </c:pt>
                <c:pt idx="18">
                  <c:v>21364494.717893917</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numCache>
            </c:numRef>
          </c:val>
          <c:smooth val="0"/>
          <c:extLst>
            <c:ext xmlns:c16="http://schemas.microsoft.com/office/drawing/2014/chart" uri="{C3380CC4-5D6E-409C-BE32-E72D297353CC}">
              <c16:uniqueId val="{00000002-F582-4E71-9579-1E81B1B7C4C8}"/>
            </c:ext>
          </c:extLst>
        </c:ser>
        <c:ser>
          <c:idx val="3"/>
          <c:order val="3"/>
          <c:tx>
            <c:strRef>
              <c:f>'Berekening business case'!$C$319</c:f>
              <c:strCache>
                <c:ptCount val="1"/>
                <c:pt idx="0">
                  <c:v>SCENARIO: Gas gunstig</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val>
            <c:numRef>
              <c:f>'Berekening business case'!$D$319:$AK$319</c:f>
              <c:numCache>
                <c:formatCode>_-* #,##0.00\ "€"_-;\-* #,##0.00\ "€"_-;_-* "-"??\ "€"_-;_-@_-</c:formatCode>
                <c:ptCount val="34"/>
                <c:pt idx="0">
                  <c:v>0</c:v>
                </c:pt>
                <c:pt idx="1">
                  <c:v>0</c:v>
                </c:pt>
                <c:pt idx="2">
                  <c:v>-8294767.7999999998</c:v>
                </c:pt>
                <c:pt idx="3">
                  <c:v>-8294767.7999999998</c:v>
                </c:pt>
                <c:pt idx="4">
                  <c:v>-7348511.2059780089</c:v>
                </c:pt>
                <c:pt idx="5">
                  <c:v>-6415649.306756285</c:v>
                </c:pt>
                <c:pt idx="6">
                  <c:v>-5503174.7345195776</c:v>
                </c:pt>
                <c:pt idx="7">
                  <c:v>-4354734.5660980921</c:v>
                </c:pt>
                <c:pt idx="8">
                  <c:v>-3046764.169434906</c:v>
                </c:pt>
                <c:pt idx="9">
                  <c:v>-1589366.4327383351</c:v>
                </c:pt>
                <c:pt idx="10">
                  <c:v>-51948.440852375701</c:v>
                </c:pt>
                <c:pt idx="11">
                  <c:v>1559772.1029900096</c:v>
                </c:pt>
                <c:pt idx="12">
                  <c:v>3240341.5222703246</c:v>
                </c:pt>
                <c:pt idx="13">
                  <c:v>4984559.6309148241</c:v>
                </c:pt>
                <c:pt idx="14">
                  <c:v>6642278.9408107828</c:v>
                </c:pt>
                <c:pt idx="15">
                  <c:v>8366998.2802098412</c:v>
                </c:pt>
                <c:pt idx="16">
                  <c:v>10153580.12295212</c:v>
                </c:pt>
                <c:pt idx="17">
                  <c:v>11997128.264022177</c:v>
                </c:pt>
                <c:pt idx="18">
                  <c:v>13892978.114371937</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numCache>
            </c:numRef>
          </c:val>
          <c:smooth val="0"/>
          <c:extLst>
            <c:ext xmlns:c16="http://schemas.microsoft.com/office/drawing/2014/chart" uri="{C3380CC4-5D6E-409C-BE32-E72D297353CC}">
              <c16:uniqueId val="{00000003-F582-4E71-9579-1E81B1B7C4C8}"/>
            </c:ext>
          </c:extLst>
        </c:ser>
        <c:ser>
          <c:idx val="4"/>
          <c:order val="4"/>
          <c:tx>
            <c:strRef>
              <c:f>'Berekening business case'!$C$320</c:f>
              <c:strCache>
                <c:ptCount val="1"/>
                <c:pt idx="0">
                  <c:v>SCENARIO: Elektrisch gunstig</c:v>
                </c:pt>
              </c:strCache>
            </c:strRef>
          </c:tx>
          <c:spPr>
            <a:ln w="28575" cap="rnd">
              <a:solidFill>
                <a:srgbClr val="009B48"/>
              </a:solidFill>
              <a:round/>
            </a:ln>
            <a:effectLst/>
          </c:spPr>
          <c:marker>
            <c:symbol val="circle"/>
            <c:size val="5"/>
            <c:spPr>
              <a:solidFill>
                <a:srgbClr val="009B48"/>
              </a:solidFill>
              <a:ln w="9525">
                <a:solidFill>
                  <a:schemeClr val="accent5"/>
                </a:solidFill>
              </a:ln>
              <a:effectLst/>
            </c:spPr>
          </c:marker>
          <c:val>
            <c:numRef>
              <c:f>'Berekening business case'!$D$320:$AK$320</c:f>
              <c:numCache>
                <c:formatCode>_-* #,##0.00\ "€"_-;\-* #,##0.00\ "€"_-;_-* "-"??\ "€"_-;_-@_-</c:formatCode>
                <c:ptCount val="34"/>
                <c:pt idx="0">
                  <c:v>0</c:v>
                </c:pt>
                <c:pt idx="1">
                  <c:v>0</c:v>
                </c:pt>
                <c:pt idx="2">
                  <c:v>-8294767.7999999998</c:v>
                </c:pt>
                <c:pt idx="3">
                  <c:v>-8294767.7999999998</c:v>
                </c:pt>
                <c:pt idx="4">
                  <c:v>-6733638.7225487977</c:v>
                </c:pt>
                <c:pt idx="5">
                  <c:v>-5209872.0402498376</c:v>
                </c:pt>
                <c:pt idx="6">
                  <c:v>-3722331.8859103853</c:v>
                </c:pt>
                <c:pt idx="7">
                  <c:v>-1822382.9809628283</c:v>
                </c:pt>
                <c:pt idx="8">
                  <c:v>506215.62454453902</c:v>
                </c:pt>
                <c:pt idx="9">
                  <c:v>3237023.099039231</c:v>
                </c:pt>
                <c:pt idx="10">
                  <c:v>6357313.6784610115</c:v>
                </c:pt>
                <c:pt idx="11">
                  <c:v>9842222.0021470673</c:v>
                </c:pt>
                <c:pt idx="12">
                  <c:v>13668001.896760136</c:v>
                </c:pt>
                <c:pt idx="13">
                  <c:v>17811982.190360606</c:v>
                </c:pt>
                <c:pt idx="14">
                  <c:v>22107333.507375166</c:v>
                </c:pt>
                <c:pt idx="15">
                  <c:v>26677985.341685288</c:v>
                </c:pt>
                <c:pt idx="16">
                  <c:v>31504402.702242445</c:v>
                </c:pt>
                <c:pt idx="17">
                  <c:v>36567955.708667628</c:v>
                </c:pt>
                <c:pt idx="18">
                  <c:v>41850883.369110592</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numCache>
            </c:numRef>
          </c:val>
          <c:smooth val="0"/>
          <c:extLst>
            <c:ext xmlns:c16="http://schemas.microsoft.com/office/drawing/2014/chart" uri="{C3380CC4-5D6E-409C-BE32-E72D297353CC}">
              <c16:uniqueId val="{00000004-F582-4E71-9579-1E81B1B7C4C8}"/>
            </c:ext>
          </c:extLst>
        </c:ser>
        <c:dLbls>
          <c:showLegendKey val="0"/>
          <c:showVal val="0"/>
          <c:showCatName val="0"/>
          <c:showSerName val="0"/>
          <c:showPercent val="0"/>
          <c:showBubbleSize val="0"/>
        </c:dLbls>
        <c:marker val="1"/>
        <c:smooth val="0"/>
        <c:axId val="394874176"/>
        <c:axId val="394872736"/>
      </c:lineChart>
      <c:catAx>
        <c:axId val="394874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394872736"/>
        <c:crosses val="autoZero"/>
        <c:auto val="1"/>
        <c:lblAlgn val="ctr"/>
        <c:lblOffset val="100"/>
        <c:noMultiLvlLbl val="0"/>
      </c:catAx>
      <c:valAx>
        <c:axId val="394872736"/>
        <c:scaling>
          <c:orientation val="minMax"/>
        </c:scaling>
        <c:delete val="0"/>
        <c:axPos val="l"/>
        <c:majorGridlines>
          <c:spPr>
            <a:ln w="9525" cap="flat" cmpd="sng" algn="ctr">
              <a:solidFill>
                <a:schemeClr val="tx1">
                  <a:lumMod val="15000"/>
                  <a:lumOff val="85000"/>
                </a:schemeClr>
              </a:solidFill>
              <a:round/>
            </a:ln>
            <a:effectLst/>
          </c:spPr>
        </c:majorGridlines>
        <c:numFmt formatCode="_-* #,##0.00\ &quot;€&quot;_-;\-* #,##0.00\ &quot;€&quot;_-;_-* &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394874176"/>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B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microsoft.com/office/2007/relationships/hdphoto" Target="../media/hdphoto2.wdp"/><Relationship Id="rId2" Type="http://schemas.openxmlformats.org/officeDocument/2006/relationships/image" Target="../media/image4.png"/><Relationship Id="rId1" Type="http://schemas.openxmlformats.org/officeDocument/2006/relationships/image" Target="../media/image3.jpeg"/><Relationship Id="rId5" Type="http://schemas.openxmlformats.org/officeDocument/2006/relationships/chart" Target="../charts/chart2.xml"/><Relationship Id="rId4"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microsoft.com/office/2007/relationships/hdphoto" Target="../media/hdphoto2.wdp"/><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3" Type="http://schemas.microsoft.com/office/2007/relationships/hdphoto" Target="../media/hdphoto2.wdp"/><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3" Type="http://schemas.microsoft.com/office/2007/relationships/hdphoto" Target="../media/hdphoto2.wdp"/><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3" Type="http://schemas.microsoft.com/office/2007/relationships/hdphoto" Target="../media/hdphoto2.wdp"/><Relationship Id="rId2" Type="http://schemas.openxmlformats.org/officeDocument/2006/relationships/image" Target="../media/image4.pn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3" Type="http://schemas.microsoft.com/office/2007/relationships/hdphoto" Target="../media/hdphoto2.wdp"/><Relationship Id="rId2" Type="http://schemas.openxmlformats.org/officeDocument/2006/relationships/image" Target="../media/image4.png"/><Relationship Id="rId1" Type="http://schemas.openxmlformats.org/officeDocument/2006/relationships/image" Target="../media/image3.jpeg"/><Relationship Id="rId5" Type="http://schemas.openxmlformats.org/officeDocument/2006/relationships/chart" Target="../charts/chart4.xml"/><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12</xdr:col>
      <xdr:colOff>400050</xdr:colOff>
      <xdr:row>0</xdr:row>
      <xdr:rowOff>114300</xdr:rowOff>
    </xdr:from>
    <xdr:to>
      <xdr:col>14</xdr:col>
      <xdr:colOff>495300</xdr:colOff>
      <xdr:row>2</xdr:row>
      <xdr:rowOff>104345</xdr:rowOff>
    </xdr:to>
    <xdr:pic>
      <xdr:nvPicPr>
        <xdr:cNvPr id="6" name="Picture 1">
          <a:extLst>
            <a:ext uri="{FF2B5EF4-FFF2-40B4-BE49-F238E27FC236}">
              <a16:creationId xmlns:a16="http://schemas.microsoft.com/office/drawing/2014/main" id="{55FF602B-0F12-4BC4-ADBA-2AECDD232D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67675" y="114300"/>
          <a:ext cx="1276350" cy="524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485775</xdr:colOff>
      <xdr:row>0</xdr:row>
      <xdr:rowOff>95250</xdr:rowOff>
    </xdr:from>
    <xdr:to>
      <xdr:col>12</xdr:col>
      <xdr:colOff>293739</xdr:colOff>
      <xdr:row>3</xdr:row>
      <xdr:rowOff>3156</xdr:rowOff>
    </xdr:to>
    <xdr:pic>
      <xdr:nvPicPr>
        <xdr:cNvPr id="7" name="Picture 2">
          <a:extLst>
            <a:ext uri="{FF2B5EF4-FFF2-40B4-BE49-F238E27FC236}">
              <a16:creationId xmlns:a16="http://schemas.microsoft.com/office/drawing/2014/main" id="{D076E3F8-9242-48D3-8E5D-0B11B5C4B90C}"/>
            </a:ext>
          </a:extLst>
        </xdr:cNvPr>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artisticPhotocopy/>
                  </a14:imgEffect>
                  <a14:imgEffect>
                    <a14:colorTemperature colorTemp="5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6381750" y="95250"/>
          <a:ext cx="1580249" cy="6165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25</xdr:col>
      <xdr:colOff>370856</xdr:colOff>
      <xdr:row>0</xdr:row>
      <xdr:rowOff>111488</xdr:rowOff>
    </xdr:from>
    <xdr:to>
      <xdr:col>27</xdr:col>
      <xdr:colOff>572053</xdr:colOff>
      <xdr:row>2</xdr:row>
      <xdr:rowOff>56138</xdr:rowOff>
    </xdr:to>
    <xdr:pic>
      <xdr:nvPicPr>
        <xdr:cNvPr id="2" name="Picture 1">
          <a:extLst>
            <a:ext uri="{FF2B5EF4-FFF2-40B4-BE49-F238E27FC236}">
              <a16:creationId xmlns:a16="http://schemas.microsoft.com/office/drawing/2014/main" id="{BBE94569-0E83-4CD6-B705-9A18D72DC0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01256" y="111488"/>
          <a:ext cx="1420397" cy="557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502920</xdr:colOff>
      <xdr:row>0</xdr:row>
      <xdr:rowOff>60960</xdr:rowOff>
    </xdr:from>
    <xdr:to>
      <xdr:col>22</xdr:col>
      <xdr:colOff>245747</xdr:colOff>
      <xdr:row>3</xdr:row>
      <xdr:rowOff>36397</xdr:rowOff>
    </xdr:to>
    <xdr:pic>
      <xdr:nvPicPr>
        <xdr:cNvPr id="3" name="Picture 2">
          <a:extLst>
            <a:ext uri="{FF2B5EF4-FFF2-40B4-BE49-F238E27FC236}">
              <a16:creationId xmlns:a16="http://schemas.microsoft.com/office/drawing/2014/main" id="{E995D48E-8ABA-4BED-8C3E-099EE7DC6C0A}"/>
            </a:ext>
          </a:extLst>
        </xdr:cNvPr>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artisticPhotocopy/>
                  </a14:imgEffect>
                  <a14:imgEffect>
                    <a14:colorTemperature colorTemp="5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11475720" y="60960"/>
          <a:ext cx="1586231" cy="767917"/>
        </a:xfrm>
        <a:prstGeom prst="rect">
          <a:avLst/>
        </a:prstGeom>
      </xdr:spPr>
    </xdr:pic>
    <xdr:clientData/>
  </xdr:twoCellAnchor>
  <xdr:twoCellAnchor>
    <xdr:from>
      <xdr:col>5</xdr:col>
      <xdr:colOff>952028</xdr:colOff>
      <xdr:row>86</xdr:row>
      <xdr:rowOff>219001</xdr:rowOff>
    </xdr:from>
    <xdr:to>
      <xdr:col>19</xdr:col>
      <xdr:colOff>362748</xdr:colOff>
      <xdr:row>116</xdr:row>
      <xdr:rowOff>132139</xdr:rowOff>
    </xdr:to>
    <xdr:graphicFrame macro="">
      <xdr:nvGraphicFramePr>
        <xdr:cNvPr id="5" name="Chart 4">
          <a:extLst>
            <a:ext uri="{FF2B5EF4-FFF2-40B4-BE49-F238E27FC236}">
              <a16:creationId xmlns:a16="http://schemas.microsoft.com/office/drawing/2014/main" id="{7B8D5FAB-0EDB-4D04-B3D2-CF3DB7ECCA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789940</xdr:colOff>
      <xdr:row>57</xdr:row>
      <xdr:rowOff>0</xdr:rowOff>
    </xdr:from>
    <xdr:to>
      <xdr:col>19</xdr:col>
      <xdr:colOff>157891</xdr:colOff>
      <xdr:row>82</xdr:row>
      <xdr:rowOff>29210</xdr:rowOff>
    </xdr:to>
    <xdr:graphicFrame macro="">
      <xdr:nvGraphicFramePr>
        <xdr:cNvPr id="6" name="Grafiek 7">
          <a:extLst>
            <a:ext uri="{FF2B5EF4-FFF2-40B4-BE49-F238E27FC236}">
              <a16:creationId xmlns:a16="http://schemas.microsoft.com/office/drawing/2014/main" id="{7B98EE03-5F8B-48E9-B55D-C77DC2AECB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31</xdr:col>
      <xdr:colOff>495858</xdr:colOff>
      <xdr:row>0</xdr:row>
      <xdr:rowOff>8564</xdr:rowOff>
    </xdr:from>
    <xdr:to>
      <xdr:col>33</xdr:col>
      <xdr:colOff>19713</xdr:colOff>
      <xdr:row>2</xdr:row>
      <xdr:rowOff>73192</xdr:rowOff>
    </xdr:to>
    <xdr:pic>
      <xdr:nvPicPr>
        <xdr:cNvPr id="2" name="Picture 1">
          <a:extLst>
            <a:ext uri="{FF2B5EF4-FFF2-40B4-BE49-F238E27FC236}">
              <a16:creationId xmlns:a16="http://schemas.microsoft.com/office/drawing/2014/main" id="{D66C3961-BAA3-4869-AE63-44FABDB7A1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089908" y="8564"/>
          <a:ext cx="1428855" cy="6742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248498</xdr:colOff>
      <xdr:row>0</xdr:row>
      <xdr:rowOff>0</xdr:rowOff>
    </xdr:from>
    <xdr:to>
      <xdr:col>29</xdr:col>
      <xdr:colOff>930442</xdr:colOff>
      <xdr:row>2</xdr:row>
      <xdr:rowOff>172026</xdr:rowOff>
    </xdr:to>
    <xdr:pic>
      <xdr:nvPicPr>
        <xdr:cNvPr id="3" name="Picture 2">
          <a:extLst>
            <a:ext uri="{FF2B5EF4-FFF2-40B4-BE49-F238E27FC236}">
              <a16:creationId xmlns:a16="http://schemas.microsoft.com/office/drawing/2014/main" id="{E0F443E1-0DC9-4516-B33C-C93B85A714AA}"/>
            </a:ext>
          </a:extLst>
        </xdr:cNvPr>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artisticPhotocopy/>
                  </a14:imgEffect>
                  <a14:imgEffect>
                    <a14:colorTemperature colorTemp="5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25927898" y="0"/>
          <a:ext cx="1634444" cy="7816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30</xdr:col>
      <xdr:colOff>540308</xdr:colOff>
      <xdr:row>0</xdr:row>
      <xdr:rowOff>91643</xdr:rowOff>
    </xdr:from>
    <xdr:to>
      <xdr:col>31</xdr:col>
      <xdr:colOff>857913</xdr:colOff>
      <xdr:row>2</xdr:row>
      <xdr:rowOff>95946</xdr:rowOff>
    </xdr:to>
    <xdr:pic>
      <xdr:nvPicPr>
        <xdr:cNvPr id="2" name="Picture 1">
          <a:extLst>
            <a:ext uri="{FF2B5EF4-FFF2-40B4-BE49-F238E27FC236}">
              <a16:creationId xmlns:a16="http://schemas.microsoft.com/office/drawing/2014/main" id="{1662FEB4-6F00-4507-B58D-B4E155D329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92433" y="91643"/>
          <a:ext cx="1294870" cy="5338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867623</xdr:colOff>
      <xdr:row>0</xdr:row>
      <xdr:rowOff>13229</xdr:rowOff>
    </xdr:from>
    <xdr:to>
      <xdr:col>30</xdr:col>
      <xdr:colOff>440857</xdr:colOff>
      <xdr:row>3</xdr:row>
      <xdr:rowOff>59525</xdr:rowOff>
    </xdr:to>
    <xdr:pic>
      <xdr:nvPicPr>
        <xdr:cNvPr id="3" name="Picture 2">
          <a:extLst>
            <a:ext uri="{FF2B5EF4-FFF2-40B4-BE49-F238E27FC236}">
              <a16:creationId xmlns:a16="http://schemas.microsoft.com/office/drawing/2014/main" id="{E65515F6-B1CA-44A0-9B09-1F509D2C9E9F}"/>
            </a:ext>
          </a:extLst>
        </xdr:cNvPr>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artisticPhotocopy/>
                  </a14:imgEffect>
                  <a14:imgEffect>
                    <a14:colorTemperature colorTemp="5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34957598" y="13229"/>
          <a:ext cx="1531574" cy="75686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30</xdr:col>
      <xdr:colOff>540308</xdr:colOff>
      <xdr:row>0</xdr:row>
      <xdr:rowOff>91643</xdr:rowOff>
    </xdr:from>
    <xdr:to>
      <xdr:col>31</xdr:col>
      <xdr:colOff>854103</xdr:colOff>
      <xdr:row>2</xdr:row>
      <xdr:rowOff>92136</xdr:rowOff>
    </xdr:to>
    <xdr:pic>
      <xdr:nvPicPr>
        <xdr:cNvPr id="6" name="Picture 1">
          <a:extLst>
            <a:ext uri="{FF2B5EF4-FFF2-40B4-BE49-F238E27FC236}">
              <a16:creationId xmlns:a16="http://schemas.microsoft.com/office/drawing/2014/main" id="{73527636-092A-4994-9D6B-72C5DDC154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383537" y="91643"/>
          <a:ext cx="1334241" cy="5352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867623</xdr:colOff>
      <xdr:row>0</xdr:row>
      <xdr:rowOff>13229</xdr:rowOff>
    </xdr:from>
    <xdr:to>
      <xdr:col>30</xdr:col>
      <xdr:colOff>437047</xdr:colOff>
      <xdr:row>3</xdr:row>
      <xdr:rowOff>55715</xdr:rowOff>
    </xdr:to>
    <xdr:pic>
      <xdr:nvPicPr>
        <xdr:cNvPr id="7" name="Picture 2">
          <a:extLst>
            <a:ext uri="{FF2B5EF4-FFF2-40B4-BE49-F238E27FC236}">
              <a16:creationId xmlns:a16="http://schemas.microsoft.com/office/drawing/2014/main" id="{1CCF45BA-F0A8-43E2-B0B2-8F035C3E7592}"/>
            </a:ext>
          </a:extLst>
        </xdr:cNvPr>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artisticPhotocopy/>
                  </a14:imgEffect>
                  <a14:imgEffect>
                    <a14:colorTemperature colorTemp="5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35647102" y="13229"/>
          <a:ext cx="1631903" cy="76310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31</xdr:col>
      <xdr:colOff>495858</xdr:colOff>
      <xdr:row>0</xdr:row>
      <xdr:rowOff>8564</xdr:rowOff>
    </xdr:from>
    <xdr:to>
      <xdr:col>33</xdr:col>
      <xdr:colOff>19713</xdr:colOff>
      <xdr:row>2</xdr:row>
      <xdr:rowOff>73192</xdr:rowOff>
    </xdr:to>
    <xdr:pic>
      <xdr:nvPicPr>
        <xdr:cNvPr id="2" name="Picture 1">
          <a:extLst>
            <a:ext uri="{FF2B5EF4-FFF2-40B4-BE49-F238E27FC236}">
              <a16:creationId xmlns:a16="http://schemas.microsoft.com/office/drawing/2014/main" id="{D8EBFAD9-2008-4EB9-947E-12BB45630F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869833" y="8564"/>
          <a:ext cx="1341225" cy="6837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248498</xdr:colOff>
      <xdr:row>0</xdr:row>
      <xdr:rowOff>0</xdr:rowOff>
    </xdr:from>
    <xdr:to>
      <xdr:col>29</xdr:col>
      <xdr:colOff>930442</xdr:colOff>
      <xdr:row>2</xdr:row>
      <xdr:rowOff>172026</xdr:rowOff>
    </xdr:to>
    <xdr:pic>
      <xdr:nvPicPr>
        <xdr:cNvPr id="3" name="Picture 2">
          <a:extLst>
            <a:ext uri="{FF2B5EF4-FFF2-40B4-BE49-F238E27FC236}">
              <a16:creationId xmlns:a16="http://schemas.microsoft.com/office/drawing/2014/main" id="{6FC35F0B-A1ED-4D43-9A67-ABF8C1CE0C72}"/>
            </a:ext>
          </a:extLst>
        </xdr:cNvPr>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artisticPhotocopy/>
                  </a14:imgEffect>
                  <a14:imgEffect>
                    <a14:colorTemperature colorTemp="5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18574598" y="0"/>
          <a:ext cx="1624919" cy="78353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34</xdr:col>
      <xdr:colOff>276776</xdr:colOff>
      <xdr:row>0</xdr:row>
      <xdr:rowOff>95250</xdr:rowOff>
    </xdr:from>
    <xdr:to>
      <xdr:col>35</xdr:col>
      <xdr:colOff>419030</xdr:colOff>
      <xdr:row>2</xdr:row>
      <xdr:rowOff>114793</xdr:rowOff>
    </xdr:to>
    <xdr:pic>
      <xdr:nvPicPr>
        <xdr:cNvPr id="2" name="Picture 1">
          <a:extLst>
            <a:ext uri="{FF2B5EF4-FFF2-40B4-BE49-F238E27FC236}">
              <a16:creationId xmlns:a16="http://schemas.microsoft.com/office/drawing/2014/main" id="{408EAF7A-7674-463B-945D-A0E9E2D269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425536" y="99060"/>
          <a:ext cx="1419874" cy="5491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257710</xdr:colOff>
      <xdr:row>0</xdr:row>
      <xdr:rowOff>48532</xdr:rowOff>
    </xdr:from>
    <xdr:to>
      <xdr:col>32</xdr:col>
      <xdr:colOff>897567</xdr:colOff>
      <xdr:row>3</xdr:row>
      <xdr:rowOff>97368</xdr:rowOff>
    </xdr:to>
    <xdr:pic>
      <xdr:nvPicPr>
        <xdr:cNvPr id="3" name="Picture 2">
          <a:extLst>
            <a:ext uri="{FF2B5EF4-FFF2-40B4-BE49-F238E27FC236}">
              <a16:creationId xmlns:a16="http://schemas.microsoft.com/office/drawing/2014/main" id="{6ACD999F-8BA4-423D-A7F2-67E05512497C}"/>
            </a:ext>
          </a:extLst>
        </xdr:cNvPr>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artisticPhotocopy/>
                  </a14:imgEffect>
                  <a14:imgEffect>
                    <a14:colorTemperature colorTemp="5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38905080" y="51072"/>
          <a:ext cx="1577117" cy="758131"/>
        </a:xfrm>
        <a:prstGeom prst="rect">
          <a:avLst/>
        </a:prstGeom>
      </xdr:spPr>
    </xdr:pic>
    <xdr:clientData/>
  </xdr:twoCellAnchor>
  <xdr:twoCellAnchor>
    <xdr:from>
      <xdr:col>2</xdr:col>
      <xdr:colOff>1057274</xdr:colOff>
      <xdr:row>173</xdr:row>
      <xdr:rowOff>123824</xdr:rowOff>
    </xdr:from>
    <xdr:to>
      <xdr:col>13</xdr:col>
      <xdr:colOff>11205</xdr:colOff>
      <xdr:row>199</xdr:row>
      <xdr:rowOff>78441</xdr:rowOff>
    </xdr:to>
    <xdr:graphicFrame macro="">
      <xdr:nvGraphicFramePr>
        <xdr:cNvPr id="4" name="Grafiek 7">
          <a:extLst>
            <a:ext uri="{FF2B5EF4-FFF2-40B4-BE49-F238E27FC236}">
              <a16:creationId xmlns:a16="http://schemas.microsoft.com/office/drawing/2014/main" id="{AFCD4B22-23B7-41ED-B092-B13F61A33D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1045604</xdr:colOff>
      <xdr:row>267</xdr:row>
      <xdr:rowOff>125474</xdr:rowOff>
    </xdr:from>
    <xdr:to>
      <xdr:col>13</xdr:col>
      <xdr:colOff>95249</xdr:colOff>
      <xdr:row>295</xdr:row>
      <xdr:rowOff>47625</xdr:rowOff>
    </xdr:to>
    <xdr:graphicFrame macro="">
      <xdr:nvGraphicFramePr>
        <xdr:cNvPr id="5" name="Chart 4">
          <a:extLst>
            <a:ext uri="{FF2B5EF4-FFF2-40B4-BE49-F238E27FC236}">
              <a16:creationId xmlns:a16="http://schemas.microsoft.com/office/drawing/2014/main" id="{4FDFE198-7073-4541-82D1-ADDF1EDF16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Pieter Vingerhoets" id="{CB02562E-E6E6-422F-8046-800A6028819D}" userId="S::pieter.vingerhoets@vito.be::3807881d-266d-4df1-9a5e-f66b233c7ee0"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B93ABA4-4DD6-425F-84B4-65841912C518}" name="tech_param" displayName="tech_param" ref="A24:I29" totalsRowShown="0" headerRowDxfId="140" dataDxfId="139">
  <tableColumns count="9">
    <tableColumn id="1" xr3:uid="{284252E0-7C90-4C9F-A4AD-64590FABAB57}" name="Technologie" dataDxfId="138"/>
    <tableColumn id="3" xr3:uid="{7A4EC47E-0910-475D-B481-525D0A85DD0B}" name="ID" dataDxfId="137"/>
    <tableColumn id="5" xr3:uid="{001AA24B-2276-418D-84B4-E1C3E3726EF7}" name="Correctiefactor netkost" dataDxfId="136"/>
    <tableColumn id="6" xr3:uid="{692C5CB1-6826-46D7-8146-A80A7CC371D0}" name="Maximum aantal vollasturen" dataDxfId="135"/>
    <tableColumn id="8" xr3:uid="{50E17082-A8E0-44BE-B396-7B461182F976}" name="Economische levensduur" dataDxfId="134"/>
    <tableColumn id="20" xr3:uid="{2BE676B1-7489-427E-9171-EB3AEBC4FF7D}" name="Investeringskost" dataDxfId="133"/>
    <tableColumn id="10" xr3:uid="{242EBEEF-DA5E-4CCC-AF79-55A887E03D3A}" name="Maximum thermisch rendement " dataDxfId="132"/>
    <tableColumn id="11" xr3:uid="{285A6083-1E6D-4C82-AD8B-5CC701D2EE0C}" name="Minimum COP" dataDxfId="131">
      <calculatedColumnFormula>"/"</calculatedColumnFormula>
    </tableColumn>
    <tableColumn id="13" xr3:uid="{08865A5F-F6E2-4434-95E7-34D997C87C59}" name="Maximum COP" dataDxfId="130">
      <calculatedColumnFormula>"/"</calculatedColumnFormula>
    </tableColumn>
  </tableColumns>
  <tableStyleInfo name="Tabelstijl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624ED40-BC18-41FD-AC72-CBB5EEB0AE03}" name="prefill" displayName="prefill" ref="A24:AF35" totalsRowShown="0" headerRowDxfId="129" dataDxfId="128">
  <tableColumns count="32">
    <tableColumn id="1" xr3:uid="{78EE8153-F2D1-42ED-9EC6-2BBB4F20B898}" name="Kostenpost" dataDxfId="127"/>
    <tableColumn id="2" xr3:uid="{D180A1D3-A7AB-4FCA-A0D1-D6E359FDA5DF}" name="Eenheid" dataDxfId="126"/>
    <tableColumn id="4" xr3:uid="{080DA9B2-F4C1-4950-921E-FD74DF24CC47}" name="1" dataDxfId="125"/>
    <tableColumn id="5" xr3:uid="{A2B49E5B-3F36-4198-B398-C4DA71C67DD0}" name="2" dataDxfId="124"/>
    <tableColumn id="6" xr3:uid="{1D89AB0F-33FE-4E3E-B481-9997BAA6DA1F}" name="3" dataDxfId="123"/>
    <tableColumn id="7" xr3:uid="{AA85404E-0724-4131-9015-4BBD400C3AB6}" name="4" dataDxfId="122"/>
    <tableColumn id="8" xr3:uid="{863CA526-3E6D-4057-9150-BDFC07EDAD07}" name="5" dataDxfId="121"/>
    <tableColumn id="9" xr3:uid="{FC572291-9D59-4702-A4F3-0AE14AFE7564}" name="6" dataDxfId="120"/>
    <tableColumn id="10" xr3:uid="{288F86AE-14E6-4345-969C-727B44215BC9}" name="7" dataDxfId="119"/>
    <tableColumn id="11" xr3:uid="{04B8EABE-CEBD-4CCC-B67F-ABE1134BF9F2}" name="8" dataDxfId="118"/>
    <tableColumn id="12" xr3:uid="{43758EDD-5493-4C32-9541-551CAE989A8A}" name="9" dataDxfId="117"/>
    <tableColumn id="13" xr3:uid="{BA22FE52-AF70-49BA-9B1E-56F68CA536DF}" name="10" dataDxfId="116"/>
    <tableColumn id="14" xr3:uid="{D9B2EBC1-412C-4CA5-98EA-E7850F86D497}" name="11" dataDxfId="115"/>
    <tableColumn id="15" xr3:uid="{6DD40994-807A-421E-93D8-4EB573812794}" name="12" dataDxfId="114"/>
    <tableColumn id="16" xr3:uid="{5C427DA8-B5A6-4850-A655-CED0676BB210}" name="13" dataDxfId="113"/>
    <tableColumn id="17" xr3:uid="{9A528AF4-E086-4254-A639-851D22BCC078}" name="14" dataDxfId="112"/>
    <tableColumn id="18" xr3:uid="{F4D3EF0D-0A83-4F99-8FF9-39A5BF4C1C4E}" name="15" dataDxfId="111"/>
    <tableColumn id="19" xr3:uid="{9985DE08-AABC-4E9F-943D-5C0DE05C7E12}" name="16" dataDxfId="110"/>
    <tableColumn id="20" xr3:uid="{375CFBFC-379E-4D0B-BEA3-CFD172877BED}" name="17" dataDxfId="109"/>
    <tableColumn id="21" xr3:uid="{17EDCC11-74C5-43E5-89CE-F1C5A0857637}" name="18" dataDxfId="108"/>
    <tableColumn id="22" xr3:uid="{56353447-FBB1-4668-8CA8-2E59182111A7}" name="19" dataDxfId="107"/>
    <tableColumn id="23" xr3:uid="{EC148C16-69A6-4BD1-9C22-1E0C91B7E05C}" name="20" dataDxfId="106"/>
    <tableColumn id="24" xr3:uid="{49C6DDEA-CE27-4E47-8DDC-E43B729E5D94}" name="21" dataDxfId="105"/>
    <tableColumn id="25" xr3:uid="{2E6E4E43-DA25-46FC-B716-748445C1C617}" name="22" dataDxfId="104"/>
    <tableColumn id="26" xr3:uid="{10D37DF5-7A78-4235-8AF4-AF5175BBFB68}" name="23" dataDxfId="103"/>
    <tableColumn id="27" xr3:uid="{5D51D694-A696-43BA-9475-7DA1EB8F6850}" name="24" dataDxfId="102"/>
    <tableColumn id="28" xr3:uid="{C96BF057-9512-457C-86A0-EA260F967833}" name="25" dataDxfId="101"/>
    <tableColumn id="29" xr3:uid="{BB4F62C5-4F2F-44C2-A64C-D1609C66F5F2}" name="26" dataDxfId="100"/>
    <tableColumn id="30" xr3:uid="{47C17AD1-1F12-485C-B1BE-492928A54BB0}" name="27" dataDxfId="99"/>
    <tableColumn id="31" xr3:uid="{99B023EB-DAEE-44C5-A949-986FDFE34390}" name="28" dataDxfId="98"/>
    <tableColumn id="32" xr3:uid="{187AAED8-5EA4-4A90-9CFD-85449C6BE4FA}" name="29" dataDxfId="97"/>
    <tableColumn id="33" xr3:uid="{BA70A2F7-2653-40E9-B288-FD2BA5D6DDD7}" name="30" dataDxfId="96"/>
  </tableColumns>
  <tableStyleInfo name="Tabelstijl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1C3A141-0831-4393-84C3-1FBBB0B5CDEE}" name="ScenarioFossiel" displayName="ScenarioFossiel" ref="A40:AF50" totalsRowShown="0" headerRowDxfId="95" dataDxfId="94">
  <autoFilter ref="A40:AF50" xr:uid="{31C3A141-0831-4393-84C3-1FBBB0B5CDE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00A2CE16-D24F-4821-AB02-521FF0826028}" name="Kostenpost" dataDxfId="93"/>
    <tableColumn id="2" xr3:uid="{B103E073-1258-4A4F-A1A7-F76FB51ABDEA}" name="Eenheid" dataDxfId="92"/>
    <tableColumn id="3" xr3:uid="{B3269EFA-2CF8-4674-94A9-4F40C4B51280}" name="1" dataDxfId="91"/>
    <tableColumn id="4" xr3:uid="{6646B496-5250-4FE1-A414-52F5E8317374}" name="2" dataDxfId="90">
      <calculatedColumnFormula>C41*(1+#REF!)</calculatedColumnFormula>
    </tableColumn>
    <tableColumn id="5" xr3:uid="{4C0F9DE7-5EF0-4252-B95C-690E79F39F84}" name="3" dataDxfId="89">
      <calculatedColumnFormula>D41*(1+#REF!)</calculatedColumnFormula>
    </tableColumn>
    <tableColumn id="6" xr3:uid="{EA439CDE-D523-41F1-BF81-6C54C6511276}" name="4" dataDxfId="88">
      <calculatedColumnFormula>E41*(1+#REF!)</calculatedColumnFormula>
    </tableColumn>
    <tableColumn id="7" xr3:uid="{1AF304AE-174D-4BE6-AC59-827064B0A9C4}" name="5" dataDxfId="87">
      <calculatedColumnFormula>F41*(1+#REF!)</calculatedColumnFormula>
    </tableColumn>
    <tableColumn id="8" xr3:uid="{E5179558-AB1D-456D-B9C1-316A13464F61}" name="6" dataDxfId="86">
      <calculatedColumnFormula>G41*(1+#REF!)</calculatedColumnFormula>
    </tableColumn>
    <tableColumn id="9" xr3:uid="{397C56A4-6CD4-45B7-9616-8F98B5296CDA}" name="7" dataDxfId="85">
      <calculatedColumnFormula>H41*(1+#REF!)</calculatedColumnFormula>
    </tableColumn>
    <tableColumn id="10" xr3:uid="{67DF4233-9D61-4CF2-81BF-97883813BB3F}" name="8" dataDxfId="84">
      <calculatedColumnFormula>I41*(1+#REF!)</calculatedColumnFormula>
    </tableColumn>
    <tableColumn id="11" xr3:uid="{C22DA55C-5A0C-43C4-ADF5-B5490409E808}" name="9" dataDxfId="83">
      <calculatedColumnFormula>J41*(1+#REF!)</calculatedColumnFormula>
    </tableColumn>
    <tableColumn id="12" xr3:uid="{752D8D94-FE89-48CA-AEB9-E52142A07940}" name="10" dataDxfId="82">
      <calculatedColumnFormula>K41*(1+#REF!)</calculatedColumnFormula>
    </tableColumn>
    <tableColumn id="13" xr3:uid="{12A8D979-A402-4C65-AB46-58810CBD77F9}" name="11" dataDxfId="81">
      <calculatedColumnFormula>L41*(1+#REF!)</calculatedColumnFormula>
    </tableColumn>
    <tableColumn id="14" xr3:uid="{1C9B8E73-F3C0-40EB-BC3A-B428299758A4}" name="12" dataDxfId="80">
      <calculatedColumnFormula>M41*(1+#REF!)</calculatedColumnFormula>
    </tableColumn>
    <tableColumn id="15" xr3:uid="{7CB4241A-17EF-422F-BCB7-B41DE55337D8}" name="13" dataDxfId="79">
      <calculatedColumnFormula>N41*(1+#REF!)</calculatedColumnFormula>
    </tableColumn>
    <tableColumn id="16" xr3:uid="{89F2CDE7-875A-4BFA-9711-F66D84993764}" name="14" dataDxfId="78">
      <calculatedColumnFormula>O41*(1+#REF!)</calculatedColumnFormula>
    </tableColumn>
    <tableColumn id="17" xr3:uid="{1E466AEE-2A02-4A06-B799-FC72EDAA852A}" name="15" dataDxfId="77">
      <calculatedColumnFormula>P41*(1+#REF!)</calculatedColumnFormula>
    </tableColumn>
    <tableColumn id="18" xr3:uid="{B9345EFB-8122-40F3-993B-9E941C3BAACC}" name="16" dataDxfId="76">
      <calculatedColumnFormula>Q41*(1+#REF!)</calculatedColumnFormula>
    </tableColumn>
    <tableColumn id="19" xr3:uid="{E71FEF90-F2A6-457B-9FB4-CFD4B5A438C4}" name="17" dataDxfId="75">
      <calculatedColumnFormula>R41*(1+#REF!)</calculatedColumnFormula>
    </tableColumn>
    <tableColumn id="20" xr3:uid="{1B9B2CA8-E71F-4312-8E8B-AEC1983E4F10}" name="18" dataDxfId="74">
      <calculatedColumnFormula>S41*(1+#REF!)</calculatedColumnFormula>
    </tableColumn>
    <tableColumn id="21" xr3:uid="{F494ABFA-B452-47DE-8CC2-27DF2FAFFC88}" name="19" dataDxfId="73">
      <calculatedColumnFormula>T41*(1+#REF!)</calculatedColumnFormula>
    </tableColumn>
    <tableColumn id="22" xr3:uid="{480A640A-6C79-47D3-A714-1126FF3A8E8C}" name="20" dataDxfId="72">
      <calculatedColumnFormula>U41*(1+#REF!)</calculatedColumnFormula>
    </tableColumn>
    <tableColumn id="23" xr3:uid="{0D7EC6B6-9195-47A9-8C9B-48D3EC49EBCB}" name="21" dataDxfId="71">
      <calculatedColumnFormula>V41*(1+#REF!)</calculatedColumnFormula>
    </tableColumn>
    <tableColumn id="24" xr3:uid="{26CE68F0-696E-410A-9E63-060A218F3A2D}" name="22" dataDxfId="70">
      <calculatedColumnFormula>W41*(1+#REF!)</calculatedColumnFormula>
    </tableColumn>
    <tableColumn id="25" xr3:uid="{650213BE-F587-4A51-B83B-8BE81752DD96}" name="23" dataDxfId="69">
      <calculatedColumnFormula>X41*(1+#REF!)</calculatedColumnFormula>
    </tableColumn>
    <tableColumn id="26" xr3:uid="{65134B4D-15C6-4C7D-B2E3-286C6943AC61}" name="24" dataDxfId="68">
      <calculatedColumnFormula>Y41*(1+#REF!)</calculatedColumnFormula>
    </tableColumn>
    <tableColumn id="27" xr3:uid="{828B3F58-7E1D-42D3-9309-0880E2E2ECD0}" name="25" dataDxfId="67">
      <calculatedColumnFormula>Z41*(1+#REF!)</calculatedColumnFormula>
    </tableColumn>
    <tableColumn id="28" xr3:uid="{CFC7BEF9-50AF-4FC1-9DF4-C3027FE564FC}" name="26" dataDxfId="66">
      <calculatedColumnFormula>AA41*(1+#REF!)</calculatedColumnFormula>
    </tableColumn>
    <tableColumn id="29" xr3:uid="{761B3AF9-AFF4-4241-8779-44D67430E1BD}" name="27" dataDxfId="65">
      <calculatedColumnFormula>AB41*(1+#REF!)</calculatedColumnFormula>
    </tableColumn>
    <tableColumn id="30" xr3:uid="{80F81A4B-27FF-4ACE-839B-CF895F6354C8}" name="28" dataDxfId="64">
      <calculatedColumnFormula>AC41*(1+#REF!)</calculatedColumnFormula>
    </tableColumn>
    <tableColumn id="31" xr3:uid="{6151DA93-6973-4F53-AAAE-5BDEB57E5987}" name="29" dataDxfId="63">
      <calculatedColumnFormula>AD41*(1+#REF!)</calculatedColumnFormula>
    </tableColumn>
    <tableColumn id="32" xr3:uid="{7D863CE8-9270-4885-B475-4785E19209DD}" name="30" dataDxfId="62">
      <calculatedColumnFormula>AE41*(1+#REF!)</calculatedColumnFormula>
    </tableColumn>
  </tableColumns>
  <tableStyleInfo name="Tabelstijl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856B0DF-1697-4218-A207-108165BFA6D9}" name="ScenarioElektrisch" displayName="ScenarioElektrisch" ref="A53:AF63" totalsRowShown="0" headerRowDxfId="61" dataDxfId="60">
  <autoFilter ref="A53:AF63" xr:uid="{F856B0DF-1697-4218-A207-108165BFA6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5D5AD436-34AA-4193-9B6F-7221510E0EF7}" name="Kostenpost" dataDxfId="59"/>
    <tableColumn id="2" xr3:uid="{379E1E37-0944-4E47-85AC-F2D01ACC448D}" name="Eenheid" dataDxfId="58"/>
    <tableColumn id="3" xr3:uid="{E2797F49-BE35-4ACD-8140-C3BF56896EF4}" name="1" dataDxfId="57"/>
    <tableColumn id="4" xr3:uid="{CF7A6818-B12E-4649-B2EA-9D92673CC3FA}" name="2" dataDxfId="56">
      <calculatedColumnFormula>C54*(1+#REF!)</calculatedColumnFormula>
    </tableColumn>
    <tableColumn id="5" xr3:uid="{4B43547E-DC6B-4EFF-AB84-7B33F129C391}" name="3" dataDxfId="55">
      <calculatedColumnFormula>D54*(1+#REF!)</calculatedColumnFormula>
    </tableColumn>
    <tableColumn id="6" xr3:uid="{25A9F7CA-A9E7-4212-B6C3-C751A7D95A34}" name="4" dataDxfId="54">
      <calculatedColumnFormula>E54*(1+#REF!)</calculatedColumnFormula>
    </tableColumn>
    <tableColumn id="7" xr3:uid="{E35BABA3-944C-44EB-A414-B70B012CC8EE}" name="5" dataDxfId="53">
      <calculatedColumnFormula>F54*(1+#REF!)</calculatedColumnFormula>
    </tableColumn>
    <tableColumn id="8" xr3:uid="{9368D438-9E58-4E38-9CB9-BF8CEB7D3D90}" name="6" dataDxfId="52">
      <calculatedColumnFormula>G54*(1+#REF!)</calculatedColumnFormula>
    </tableColumn>
    <tableColumn id="9" xr3:uid="{ADF5769F-50F1-42FE-BF16-C11B0462A53F}" name="7" dataDxfId="51">
      <calculatedColumnFormula>H54*(1+#REF!)</calculatedColumnFormula>
    </tableColumn>
    <tableColumn id="10" xr3:uid="{7601F1EF-6550-4E5F-B467-35A8F8FE1063}" name="8" dataDxfId="50">
      <calculatedColumnFormula>I54*(1+#REF!)</calculatedColumnFormula>
    </tableColumn>
    <tableColumn id="11" xr3:uid="{542BA6A2-A7F3-46BB-99C7-9F4051104D72}" name="9" dataDxfId="49">
      <calculatedColumnFormula>J54*(1+#REF!)</calculatedColumnFormula>
    </tableColumn>
    <tableColumn id="12" xr3:uid="{8C25D6DC-0F7F-4D2E-AC9F-ADBED65020A5}" name="10" dataDxfId="48">
      <calculatedColumnFormula>K54*(1+#REF!)</calculatedColumnFormula>
    </tableColumn>
    <tableColumn id="13" xr3:uid="{EB554A14-1D6C-47D1-94D5-95CD764EBBD6}" name="11" dataDxfId="47">
      <calculatedColumnFormula>L54*(1+#REF!)</calculatedColumnFormula>
    </tableColumn>
    <tableColumn id="14" xr3:uid="{46468557-21B0-4AF2-BF12-2D1C7703465A}" name="12" dataDxfId="46">
      <calculatedColumnFormula>M54*(1+#REF!)</calculatedColumnFormula>
    </tableColumn>
    <tableColumn id="15" xr3:uid="{F974A85E-BAF0-46FB-825D-AEEAAD02391D}" name="13" dataDxfId="45">
      <calculatedColumnFormula>N54*(1+#REF!)</calculatedColumnFormula>
    </tableColumn>
    <tableColumn id="16" xr3:uid="{371BFCEA-71DB-4661-BED0-0C9EE660265D}" name="14" dataDxfId="44">
      <calculatedColumnFormula>O54*(1+#REF!)</calculatedColumnFormula>
    </tableColumn>
    <tableColumn id="17" xr3:uid="{1D80EADE-006B-454D-A34A-DDD07DE04C86}" name="15" dataDxfId="43">
      <calculatedColumnFormula>P54*(1+#REF!)</calculatedColumnFormula>
    </tableColumn>
    <tableColumn id="18" xr3:uid="{06C2C21D-EFDE-45FC-8642-64285E094F2A}" name="16" dataDxfId="42">
      <calculatedColumnFormula>Q54*(1+#REF!)</calculatedColumnFormula>
    </tableColumn>
    <tableColumn id="19" xr3:uid="{A4C51550-C17E-4320-A1DD-3451F309905C}" name="17" dataDxfId="41">
      <calculatedColumnFormula>R54*(1+#REF!)</calculatedColumnFormula>
    </tableColumn>
    <tableColumn id="20" xr3:uid="{807D3078-921C-479A-9246-1B81EA067FAB}" name="18" dataDxfId="40">
      <calculatedColumnFormula>S54*(1+#REF!)</calculatedColumnFormula>
    </tableColumn>
    <tableColumn id="21" xr3:uid="{B48B7E51-B491-4011-89F5-13F7144CC1D4}" name="19" dataDxfId="39">
      <calculatedColumnFormula>T54*(1+#REF!)</calculatedColumnFormula>
    </tableColumn>
    <tableColumn id="22" xr3:uid="{2DF8D4AB-3AE4-4AA6-A19B-6E8FCDDB3C9A}" name="20" dataDxfId="38">
      <calculatedColumnFormula>U54*(1+#REF!)</calculatedColumnFormula>
    </tableColumn>
    <tableColumn id="23" xr3:uid="{AB172B75-CB54-43B8-B77E-0DB6171D6FD3}" name="21" dataDxfId="37">
      <calculatedColumnFormula>V54*(1+#REF!)</calculatedColumnFormula>
    </tableColumn>
    <tableColumn id="24" xr3:uid="{B2F31782-2EEC-41C8-A44C-114016BE4720}" name="22" dataDxfId="36">
      <calculatedColumnFormula>W54*(1+#REF!)</calculatedColumnFormula>
    </tableColumn>
    <tableColumn id="25" xr3:uid="{506A4DF3-EEEA-4BDD-9E0C-74B953AAFCE7}" name="23" dataDxfId="35">
      <calculatedColumnFormula>X54*(1+#REF!)</calculatedColumnFormula>
    </tableColumn>
    <tableColumn id="26" xr3:uid="{98A16740-06C8-49C3-993C-0E5BFFA7A14A}" name="24" dataDxfId="34">
      <calculatedColumnFormula>Y54*(1+#REF!)</calculatedColumnFormula>
    </tableColumn>
    <tableColumn id="27" xr3:uid="{F926546B-AB7C-4864-B8F1-5C075352F9A9}" name="25" dataDxfId="33">
      <calculatedColumnFormula>Z54*(1+#REF!)</calculatedColumnFormula>
    </tableColumn>
    <tableColumn id="28" xr3:uid="{C4AA996F-302C-449F-AD37-A1B6443E8AC0}" name="26" dataDxfId="32">
      <calculatedColumnFormula>AA54*(1+#REF!)</calculatedColumnFormula>
    </tableColumn>
    <tableColumn id="29" xr3:uid="{BA9FBE9D-CA48-4E7C-A0C1-5B935E027288}" name="27" dataDxfId="31">
      <calculatedColumnFormula>AB54*(1+#REF!)</calculatedColumnFormula>
    </tableColumn>
    <tableColumn id="30" xr3:uid="{4629776E-4C10-4E8C-9237-2EB96BBDF13C}" name="28" dataDxfId="30">
      <calculatedColumnFormula>AC54*(1+#REF!)</calculatedColumnFormula>
    </tableColumn>
    <tableColumn id="31" xr3:uid="{7907D0A2-DA64-457F-BB15-411F47CBC8CE}" name="29" dataDxfId="29">
      <calculatedColumnFormula>AD54*(1+#REF!)</calculatedColumnFormula>
    </tableColumn>
    <tableColumn id="32" xr3:uid="{315499A6-48C4-4B02-B72F-B3D6DF29956D}" name="30" dataDxfId="28">
      <calculatedColumnFormula>AE54*(1+#REF!)</calculatedColumnFormula>
    </tableColumn>
  </tableColumns>
  <tableStyleInfo name="Tabelstijl 1"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39" dT="2026-01-28T14:35:18.95" personId="{CB02562E-E6E6-422F-8046-800A6028819D}" id="{C7F4B2D0-C599-4845-9761-FC00394E4293}">
    <text>https://www.pbl.nl/system/files/document/2025-02/pbl-2025-eindadvies-sde-plus-plus-2025-5472.pdf</text>
    <extLst>
      <x:ext xmlns:xltc2="http://schemas.microsoft.com/office/spreadsheetml/2020/threadedcomments2" uri="{F7C98A9C-CBB3-438F-8F68-D28B6AF4A901}">
        <xltc2:checksum>2497904380</xltc2:checksum>
        <xltc2:hyperlink startIndex="0" length="96" url="https://www.pbl.nl/system/files/document/2025-02/pbl-2025-eindadvies-sde-plus-plus-2025-5472.pdf"/>
      </x:ext>
    </extLst>
  </threadedComment>
</ThreadedComments>
</file>

<file path=xl/threadedComments/threadedComment2.xml><?xml version="1.0" encoding="utf-8"?>
<ThreadedComments xmlns="http://schemas.microsoft.com/office/spreadsheetml/2018/threadedcomments" xmlns:x="http://schemas.openxmlformats.org/spreadsheetml/2006/main">
  <threadedComment ref="C28" dT="2026-03-14T20:47:11.59" personId="{CB02562E-E6E6-422F-8046-800A6028819D}" id="{90AC2B2B-A47E-4965-8297-EAD255595550}">
    <text>Te checken of dit met of zonder BTW is</text>
  </threadedComment>
  <threadedComment ref="C31" dT="2026-03-14T20:49:31.42" personId="{CB02562E-E6E6-422F-8046-800A6028819D}" id="{BE9B89AA-A12E-48FA-BB4D-280DA55B811C}">
    <text>Distributietarieven elektriciteit 2026 met 6% BTW</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8" Type="http://schemas.microsoft.com/office/2017/10/relationships/threadedComment" Target="../threadedComments/threadedComment2.xml"/><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5.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FB8AF-BF10-48B3-93C9-C1E2D76130BD}">
  <sheetPr>
    <tabColor rgb="FF009B48"/>
  </sheetPr>
  <dimension ref="A1:O23"/>
  <sheetViews>
    <sheetView showGridLines="0" tabSelected="1" workbookViewId="0">
      <selection activeCell="A21" sqref="A21"/>
    </sheetView>
  </sheetViews>
  <sheetFormatPr defaultColWidth="8.6640625" defaultRowHeight="11.4" x14ac:dyDescent="0.2"/>
  <cols>
    <col min="1" max="1" width="11.44140625" style="1" customWidth="1"/>
    <col min="2" max="15" width="8.6640625" style="1"/>
    <col min="16" max="16384" width="8.6640625" style="63"/>
  </cols>
  <sheetData>
    <row r="1" spans="1:15" s="6" customFormat="1" ht="14.25" customHeight="1" x14ac:dyDescent="0.2">
      <c r="A1" s="8"/>
      <c r="B1" s="9"/>
      <c r="C1" s="9"/>
      <c r="D1" s="9"/>
      <c r="E1" s="9"/>
      <c r="F1" s="9"/>
      <c r="G1" s="9"/>
      <c r="H1" s="9"/>
      <c r="I1" s="9"/>
      <c r="J1" s="9"/>
      <c r="K1" s="9"/>
      <c r="L1" s="9"/>
      <c r="M1" s="9"/>
      <c r="N1" s="9"/>
      <c r="O1" s="9"/>
    </row>
    <row r="2" spans="1:15" s="5" customFormat="1" ht="28.2" customHeight="1" x14ac:dyDescent="0.3">
      <c r="A2" s="10" t="s">
        <v>0</v>
      </c>
      <c r="B2" s="9"/>
      <c r="C2" s="9"/>
      <c r="D2" s="9"/>
      <c r="E2" s="9"/>
      <c r="F2" s="9"/>
      <c r="G2" s="9"/>
      <c r="H2" s="9"/>
      <c r="I2" s="9"/>
      <c r="J2" s="9"/>
      <c r="K2" s="9"/>
      <c r="L2" s="9"/>
      <c r="M2" s="9"/>
      <c r="N2" s="9"/>
      <c r="O2" s="9"/>
    </row>
    <row r="3" spans="1:15" s="6" customFormat="1" ht="14.25" customHeight="1" x14ac:dyDescent="0.2">
      <c r="A3" s="8"/>
      <c r="B3" s="9"/>
      <c r="C3" s="9"/>
      <c r="D3" s="9"/>
      <c r="E3" s="9"/>
      <c r="F3" s="9"/>
      <c r="G3" s="9"/>
      <c r="H3" s="9"/>
      <c r="I3" s="9"/>
      <c r="J3" s="9"/>
      <c r="K3" s="9"/>
      <c r="L3" s="9"/>
      <c r="M3" s="9"/>
      <c r="N3" s="9"/>
      <c r="O3" s="9"/>
    </row>
    <row r="4" spans="1:15" s="11" customFormat="1" ht="14.25" customHeight="1" x14ac:dyDescent="0.3"/>
    <row r="5" spans="1:15" s="11" customFormat="1" ht="14.25" customHeight="1" x14ac:dyDescent="0.3"/>
    <row r="6" spans="1:15" ht="14.25" customHeight="1" x14ac:dyDescent="0.2">
      <c r="A6" s="12" t="s">
        <v>1</v>
      </c>
      <c r="B6" s="13"/>
      <c r="C6" s="12"/>
      <c r="D6" s="12"/>
      <c r="E6" s="12"/>
      <c r="F6" s="12"/>
      <c r="G6" s="12"/>
      <c r="H6" s="12"/>
      <c r="I6" s="12"/>
      <c r="J6" s="12"/>
      <c r="K6" s="12"/>
      <c r="L6" s="14"/>
      <c r="M6" s="14"/>
      <c r="N6" s="14"/>
      <c r="O6" s="14"/>
    </row>
    <row r="7" spans="1:15" s="1" customFormat="1" ht="14.25" customHeight="1" x14ac:dyDescent="0.3">
      <c r="A7" s="64"/>
      <c r="B7" s="65"/>
      <c r="C7" s="65"/>
      <c r="D7" s="65"/>
      <c r="E7" s="65"/>
      <c r="F7" s="65"/>
      <c r="G7" s="65"/>
      <c r="H7" s="65"/>
      <c r="I7" s="65"/>
      <c r="J7" s="65"/>
      <c r="K7" s="65"/>
      <c r="L7" s="65"/>
      <c r="M7" s="65"/>
      <c r="N7" s="65"/>
      <c r="O7" s="65"/>
    </row>
    <row r="8" spans="1:15" s="11" customFormat="1" ht="123.6" customHeight="1" x14ac:dyDescent="0.3">
      <c r="A8" s="401" t="s">
        <v>2</v>
      </c>
      <c r="B8" s="402"/>
      <c r="C8" s="402"/>
      <c r="D8" s="402"/>
      <c r="E8" s="402"/>
      <c r="F8" s="402"/>
      <c r="G8" s="402"/>
      <c r="H8" s="402"/>
      <c r="I8" s="402"/>
      <c r="J8" s="402"/>
      <c r="K8" s="402"/>
      <c r="L8" s="402"/>
      <c r="M8" s="402"/>
      <c r="N8" s="402"/>
      <c r="O8" s="402"/>
    </row>
    <row r="9" spans="1:15" ht="15.6" x14ac:dyDescent="0.3">
      <c r="A9" s="66" t="s">
        <v>3</v>
      </c>
      <c r="B9" s="11"/>
      <c r="C9" s="11"/>
      <c r="D9" s="11"/>
      <c r="E9" s="11"/>
      <c r="F9" s="11"/>
      <c r="G9" s="11"/>
      <c r="H9" s="11"/>
      <c r="I9" s="11"/>
      <c r="J9" s="11"/>
      <c r="K9" s="11"/>
      <c r="L9" s="11"/>
      <c r="M9" s="11"/>
      <c r="N9" s="11"/>
      <c r="O9" s="11"/>
    </row>
    <row r="10" spans="1:15" ht="47.1" customHeight="1" x14ac:dyDescent="0.2">
      <c r="A10" s="401" t="s">
        <v>4</v>
      </c>
      <c r="B10" s="402"/>
      <c r="C10" s="402"/>
      <c r="D10" s="402"/>
      <c r="E10" s="402"/>
      <c r="F10" s="402"/>
      <c r="G10" s="402"/>
      <c r="H10" s="402"/>
      <c r="I10" s="402"/>
      <c r="J10" s="402"/>
      <c r="K10" s="402"/>
      <c r="L10" s="402"/>
      <c r="M10" s="402"/>
      <c r="N10" s="402"/>
      <c r="O10" s="402"/>
    </row>
    <row r="11" spans="1:15" ht="14.25" customHeight="1" x14ac:dyDescent="0.3">
      <c r="A11" s="344" t="s">
        <v>5</v>
      </c>
      <c r="B11" s="11"/>
      <c r="C11" s="11"/>
      <c r="D11" s="11"/>
      <c r="E11" s="11"/>
      <c r="F11" s="11"/>
      <c r="G11" s="11"/>
      <c r="H11" s="11"/>
      <c r="I11" s="11"/>
      <c r="J11" s="11"/>
      <c r="K11" s="11"/>
      <c r="L11" s="11"/>
      <c r="M11" s="11"/>
      <c r="N11" s="11"/>
      <c r="O11" s="11"/>
    </row>
    <row r="12" spans="1:15" ht="14.25" customHeight="1" x14ac:dyDescent="0.3">
      <c r="A12" s="11"/>
      <c r="B12" s="11"/>
      <c r="C12" s="11"/>
      <c r="D12" s="11"/>
      <c r="E12" s="11"/>
      <c r="F12" s="11"/>
      <c r="G12" s="11"/>
      <c r="H12" s="11"/>
      <c r="I12" s="11"/>
      <c r="J12" s="11"/>
      <c r="K12" s="11"/>
      <c r="L12" s="11"/>
      <c r="M12" s="11"/>
      <c r="N12" s="11"/>
      <c r="O12" s="11"/>
    </row>
    <row r="13" spans="1:15" ht="14.25" customHeight="1" x14ac:dyDescent="0.3">
      <c r="A13" s="66" t="s">
        <v>6</v>
      </c>
      <c r="B13" s="11"/>
      <c r="C13" s="11"/>
      <c r="D13" s="11"/>
      <c r="E13" s="11"/>
      <c r="F13" s="11"/>
      <c r="G13" s="11"/>
      <c r="H13" s="11"/>
      <c r="I13" s="11"/>
      <c r="J13" s="11"/>
      <c r="K13" s="11"/>
      <c r="L13" s="11"/>
      <c r="M13" s="11"/>
      <c r="N13" s="11"/>
      <c r="O13" s="11"/>
    </row>
    <row r="14" spans="1:15" ht="14.25" customHeight="1" x14ac:dyDescent="0.3">
      <c r="A14" s="11" t="s">
        <v>7</v>
      </c>
      <c r="B14" s="11"/>
      <c r="C14" s="11"/>
      <c r="D14" s="11"/>
      <c r="E14" s="11"/>
      <c r="F14" s="11"/>
      <c r="G14" s="11"/>
      <c r="H14" s="11"/>
      <c r="I14" s="11"/>
      <c r="J14" s="11"/>
      <c r="K14" s="11"/>
      <c r="L14" s="11"/>
      <c r="M14" s="11"/>
      <c r="N14" s="11"/>
      <c r="O14" s="11"/>
    </row>
    <row r="15" spans="1:15" ht="14.25" customHeight="1" x14ac:dyDescent="0.3">
      <c r="A15" s="11"/>
      <c r="B15" s="11"/>
      <c r="C15" s="11"/>
      <c r="D15" s="11"/>
      <c r="E15" s="11"/>
      <c r="F15" s="11"/>
      <c r="G15" s="11"/>
      <c r="H15" s="11"/>
      <c r="I15" s="11"/>
      <c r="J15" s="11"/>
      <c r="K15" s="11"/>
      <c r="L15" s="11"/>
      <c r="N15" s="11"/>
      <c r="O15" s="11"/>
    </row>
    <row r="16" spans="1:15" s="11" customFormat="1" ht="14.25" customHeight="1" x14ac:dyDescent="0.3">
      <c r="A16" s="66" t="s">
        <v>8</v>
      </c>
    </row>
    <row r="17" spans="1:15" s="72" customFormat="1" ht="14.25" customHeight="1" x14ac:dyDescent="0.3">
      <c r="A17" s="11" t="s">
        <v>9</v>
      </c>
      <c r="B17" s="11"/>
      <c r="C17" s="11"/>
      <c r="D17" s="11"/>
      <c r="E17" s="11"/>
      <c r="F17" s="11"/>
      <c r="G17" s="11"/>
      <c r="H17" s="11"/>
      <c r="I17" s="11"/>
      <c r="J17" s="11"/>
      <c r="K17" s="11"/>
      <c r="L17" s="11"/>
      <c r="M17" s="11"/>
      <c r="N17" s="11"/>
      <c r="O17" s="11"/>
    </row>
    <row r="18" spans="1:15" ht="14.25" customHeight="1" x14ac:dyDescent="0.3">
      <c r="A18" s="67"/>
      <c r="B18" s="68"/>
      <c r="C18" s="69"/>
      <c r="D18" s="69"/>
      <c r="E18" s="11"/>
      <c r="F18" s="11"/>
      <c r="G18" s="11"/>
      <c r="H18" s="11"/>
      <c r="I18" s="11"/>
      <c r="J18" s="11"/>
      <c r="K18" s="11"/>
      <c r="L18" s="11"/>
      <c r="M18" s="11"/>
      <c r="N18" s="11"/>
      <c r="O18" s="11"/>
    </row>
    <row r="19" spans="1:15" ht="14.25" customHeight="1" x14ac:dyDescent="0.3">
      <c r="A19" s="11"/>
      <c r="B19" s="11"/>
      <c r="C19" s="11"/>
      <c r="D19" s="11"/>
      <c r="E19" s="11"/>
      <c r="F19" s="11"/>
      <c r="G19" s="11"/>
      <c r="H19" s="11"/>
      <c r="I19" s="11"/>
      <c r="J19" s="11"/>
      <c r="K19" s="11"/>
      <c r="L19" s="11"/>
      <c r="M19" s="11"/>
      <c r="N19" s="11"/>
      <c r="O19" s="11"/>
    </row>
    <row r="20" spans="1:15" ht="14.25" customHeight="1" x14ac:dyDescent="0.3">
      <c r="A20" s="66" t="s">
        <v>10</v>
      </c>
      <c r="B20" s="15"/>
      <c r="C20" s="11"/>
      <c r="D20" s="11"/>
      <c r="E20" s="11"/>
      <c r="F20" s="11"/>
      <c r="G20" s="11"/>
      <c r="H20" s="11"/>
      <c r="I20" s="11"/>
      <c r="J20" s="11"/>
      <c r="K20" s="11"/>
      <c r="L20" s="11"/>
      <c r="M20" s="11"/>
      <c r="N20" s="11"/>
      <c r="O20" s="11"/>
    </row>
    <row r="21" spans="1:15" ht="14.25" customHeight="1" x14ac:dyDescent="0.2">
      <c r="A21" s="70">
        <v>46048</v>
      </c>
      <c r="B21" s="71"/>
      <c r="C21" s="71"/>
      <c r="D21" s="71"/>
      <c r="E21" s="71"/>
      <c r="F21" s="71"/>
      <c r="G21" s="71"/>
      <c r="H21" s="71"/>
      <c r="I21" s="71"/>
      <c r="J21" s="71"/>
      <c r="K21" s="71"/>
      <c r="L21" s="71"/>
      <c r="M21" s="71"/>
      <c r="N21" s="71"/>
      <c r="O21" s="71"/>
    </row>
    <row r="23" spans="1:15" x14ac:dyDescent="0.2">
      <c r="A23" s="73"/>
    </row>
  </sheetData>
  <sheetProtection sheet="1" objects="1" scenarios="1"/>
  <mergeCells count="2">
    <mergeCell ref="A8:O8"/>
    <mergeCell ref="A10:O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562EB-59D7-48FC-8779-0AEE4B51EFAC}">
  <sheetPr>
    <tabColor rgb="FF009B48"/>
  </sheetPr>
  <dimension ref="A1:AK119"/>
  <sheetViews>
    <sheetView zoomScale="86" zoomScaleNormal="85" workbookViewId="0">
      <selection activeCell="C19" sqref="C19"/>
    </sheetView>
  </sheetViews>
  <sheetFormatPr defaultColWidth="8.6640625" defaultRowHeight="14.4" x14ac:dyDescent="0.3"/>
  <cols>
    <col min="1" max="1" width="4.6640625" style="60" customWidth="1"/>
    <col min="2" max="2" width="49.44140625" style="60" customWidth="1"/>
    <col min="3" max="3" width="24.5546875" style="60" bestFit="1" customWidth="1"/>
    <col min="4" max="4" width="23.5546875" style="60" customWidth="1"/>
    <col min="5" max="5" width="27.44140625" style="60" customWidth="1"/>
    <col min="6" max="7" width="15.6640625" style="60" customWidth="1"/>
    <col min="8" max="8" width="8.6640625" style="60"/>
    <col min="9" max="10" width="15.6640625" style="60" customWidth="1"/>
    <col min="11" max="16384" width="8.6640625" style="60"/>
  </cols>
  <sheetData>
    <row r="1" spans="1:37" s="242" customFormat="1" x14ac:dyDescent="0.3">
      <c r="B1" s="8"/>
      <c r="C1" s="9"/>
      <c r="D1" s="9"/>
      <c r="E1" s="9"/>
      <c r="F1" s="9"/>
      <c r="G1" s="9"/>
      <c r="H1" s="9"/>
      <c r="I1" s="9"/>
      <c r="J1" s="9"/>
      <c r="K1" s="9"/>
      <c r="L1" s="9"/>
      <c r="M1" s="9"/>
      <c r="N1" s="9"/>
      <c r="O1" s="9"/>
      <c r="P1" s="9"/>
      <c r="Q1" s="9"/>
      <c r="R1" s="9"/>
      <c r="S1" s="9"/>
      <c r="T1" s="9"/>
      <c r="U1" s="9"/>
      <c r="V1" s="9"/>
      <c r="W1" s="9"/>
      <c r="X1" s="9"/>
    </row>
    <row r="2" spans="1:37" s="242" customFormat="1" ht="33.6" x14ac:dyDescent="0.3">
      <c r="A2" s="270" t="s">
        <v>11</v>
      </c>
      <c r="C2" s="9"/>
      <c r="D2" s="9"/>
      <c r="E2" s="9"/>
      <c r="F2" s="9"/>
      <c r="G2" s="9"/>
      <c r="H2" s="9"/>
      <c r="I2" s="9"/>
      <c r="J2" s="9"/>
      <c r="K2" s="9"/>
      <c r="L2" s="9"/>
      <c r="M2" s="9"/>
      <c r="N2" s="9"/>
      <c r="O2" s="9"/>
      <c r="P2" s="9"/>
      <c r="Q2" s="9"/>
      <c r="R2" s="9"/>
      <c r="S2" s="9"/>
      <c r="T2" s="9"/>
      <c r="U2" s="9"/>
      <c r="V2" s="9"/>
      <c r="W2" s="9"/>
      <c r="X2" s="9"/>
    </row>
    <row r="3" spans="1:37" s="242" customFormat="1" x14ac:dyDescent="0.3">
      <c r="B3" s="9"/>
      <c r="C3" s="9"/>
      <c r="D3" s="9"/>
      <c r="E3" s="9"/>
      <c r="F3" s="9"/>
      <c r="G3" s="9"/>
      <c r="H3" s="9"/>
      <c r="I3" s="9"/>
      <c r="J3" s="9"/>
      <c r="K3" s="9"/>
      <c r="L3" s="9"/>
      <c r="M3" s="9"/>
      <c r="N3" s="9"/>
      <c r="O3" s="9"/>
      <c r="P3" s="9"/>
      <c r="Q3" s="9"/>
      <c r="R3" s="9"/>
      <c r="S3" s="9"/>
      <c r="T3" s="9"/>
      <c r="U3" s="9"/>
      <c r="V3" s="9"/>
      <c r="W3" s="9"/>
      <c r="X3" s="9"/>
    </row>
    <row r="4" spans="1:37" x14ac:dyDescent="0.3">
      <c r="B4" s="5"/>
      <c r="C4" s="5"/>
      <c r="D4" s="5"/>
      <c r="E4" s="5"/>
      <c r="F4" s="5"/>
      <c r="G4" s="5"/>
      <c r="H4" s="5"/>
      <c r="I4" s="5"/>
      <c r="J4" s="5"/>
      <c r="K4" s="5"/>
      <c r="L4" s="5"/>
      <c r="M4" s="5"/>
      <c r="N4" s="5"/>
      <c r="O4" s="5"/>
      <c r="P4" s="5"/>
      <c r="Q4" s="5"/>
      <c r="R4" s="5"/>
      <c r="S4" s="5"/>
      <c r="T4" s="5"/>
      <c r="U4" s="5"/>
      <c r="V4" s="5"/>
      <c r="W4" s="5"/>
      <c r="X4" s="5"/>
    </row>
    <row r="5" spans="1:37" x14ac:dyDescent="0.3">
      <c r="B5" s="5"/>
      <c r="C5" s="5"/>
      <c r="D5" s="5"/>
      <c r="E5" s="264"/>
      <c r="F5" s="265" t="s">
        <v>12</v>
      </c>
      <c r="G5" s="5"/>
      <c r="J5" s="5"/>
      <c r="K5" s="5"/>
      <c r="L5" s="5"/>
      <c r="M5" s="5"/>
      <c r="N5" s="5"/>
      <c r="O5" s="5"/>
      <c r="P5" s="5"/>
      <c r="Q5" s="5"/>
      <c r="R5" s="5"/>
      <c r="S5" s="5"/>
      <c r="T5" s="5"/>
      <c r="U5" s="5"/>
      <c r="V5" s="5"/>
      <c r="W5" s="5"/>
      <c r="X5" s="5"/>
    </row>
    <row r="7" spans="1:37" ht="21" x14ac:dyDescent="0.3">
      <c r="A7" s="251" t="s">
        <v>13</v>
      </c>
      <c r="B7" s="238"/>
      <c r="C7" s="25" t="s">
        <v>14</v>
      </c>
      <c r="D7" s="238"/>
      <c r="E7" s="238"/>
      <c r="F7" s="238"/>
      <c r="G7" s="238"/>
      <c r="H7" s="238"/>
      <c r="I7" s="238"/>
      <c r="J7" s="238"/>
      <c r="K7" s="237"/>
      <c r="L7" s="237"/>
      <c r="M7" s="237"/>
      <c r="N7" s="237"/>
      <c r="O7" s="237"/>
      <c r="P7" s="237"/>
      <c r="Q7" s="237"/>
      <c r="R7" s="237"/>
      <c r="S7" s="237"/>
      <c r="T7" s="237"/>
      <c r="U7" s="237"/>
      <c r="V7" s="237"/>
      <c r="W7" s="237"/>
      <c r="X7" s="237"/>
      <c r="Y7" s="237"/>
      <c r="Z7" s="237"/>
      <c r="AA7" s="237"/>
      <c r="AB7" s="237"/>
      <c r="AC7" s="237"/>
      <c r="AD7" s="237"/>
      <c r="AE7" s="237"/>
      <c r="AF7" s="237"/>
      <c r="AG7" s="237"/>
      <c r="AH7" s="237"/>
      <c r="AI7" s="237"/>
      <c r="AJ7" s="237"/>
      <c r="AK7" s="237"/>
    </row>
    <row r="8" spans="1:37" ht="15.6" x14ac:dyDescent="0.3">
      <c r="A8" s="158" t="s">
        <v>15</v>
      </c>
      <c r="B8" s="158"/>
      <c r="C8" s="158"/>
      <c r="D8" s="158"/>
      <c r="E8" s="158"/>
      <c r="F8" s="158"/>
      <c r="G8" s="158"/>
      <c r="H8" s="158"/>
      <c r="I8" s="158"/>
      <c r="J8" s="158"/>
      <c r="K8" s="158"/>
      <c r="L8" s="158"/>
      <c r="M8" s="158"/>
      <c r="N8" s="158"/>
      <c r="O8" s="158"/>
      <c r="P8" s="158"/>
      <c r="Q8" s="158"/>
      <c r="R8" s="158"/>
      <c r="S8" s="158"/>
      <c r="T8" s="158"/>
      <c r="U8" s="158"/>
      <c r="V8" s="158"/>
      <c r="W8" s="158"/>
      <c r="X8" s="158"/>
      <c r="Y8" s="158"/>
      <c r="Z8" s="158"/>
      <c r="AA8" s="158"/>
      <c r="AB8" s="158"/>
      <c r="AC8" s="158"/>
      <c r="AD8" s="158"/>
      <c r="AE8" s="158"/>
      <c r="AF8" s="158"/>
      <c r="AG8" s="158"/>
      <c r="AH8" s="158"/>
      <c r="AI8" s="158"/>
      <c r="AJ8" s="158"/>
      <c r="AK8" s="158"/>
    </row>
    <row r="10" spans="1:37" ht="15.6" x14ac:dyDescent="0.3">
      <c r="B10" s="212" t="s">
        <v>16</v>
      </c>
      <c r="C10" s="58"/>
      <c r="D10" s="22"/>
      <c r="E10" s="325" t="s">
        <v>17</v>
      </c>
      <c r="F10" s="25"/>
      <c r="G10" s="25"/>
    </row>
    <row r="11" spans="1:37" ht="15.6" x14ac:dyDescent="0.3">
      <c r="B11" s="34" t="s">
        <v>18</v>
      </c>
      <c r="C11" s="345">
        <v>0.05</v>
      </c>
      <c r="D11" s="18"/>
      <c r="E11" s="326" t="s">
        <v>19</v>
      </c>
      <c r="F11" s="18"/>
      <c r="G11" s="18"/>
    </row>
    <row r="12" spans="1:37" ht="15.6" x14ac:dyDescent="0.3">
      <c r="B12" s="34" t="s">
        <v>20</v>
      </c>
      <c r="C12" s="346">
        <v>0.02</v>
      </c>
      <c r="D12" s="18"/>
      <c r="E12" s="326" t="s">
        <v>21</v>
      </c>
      <c r="F12" s="18"/>
      <c r="G12" s="18"/>
    </row>
    <row r="13" spans="1:37" ht="15.6" x14ac:dyDescent="0.3">
      <c r="B13" s="34" t="s">
        <v>22</v>
      </c>
      <c r="C13" s="346">
        <v>0.57999999999999996</v>
      </c>
      <c r="D13" s="21"/>
      <c r="E13" s="326" t="s">
        <v>23</v>
      </c>
      <c r="F13" s="20"/>
      <c r="G13" s="20"/>
    </row>
    <row r="14" spans="1:37" ht="15.6" x14ac:dyDescent="0.3">
      <c r="B14" s="34" t="s">
        <v>24</v>
      </c>
      <c r="C14" s="289">
        <f>1-C13</f>
        <v>0.42000000000000004</v>
      </c>
      <c r="D14" s="21"/>
      <c r="E14" s="326"/>
      <c r="F14" s="20"/>
      <c r="G14" s="20"/>
    </row>
    <row r="15" spans="1:37" ht="15.6" x14ac:dyDescent="0.3">
      <c r="B15" s="34" t="s">
        <v>25</v>
      </c>
      <c r="C15" s="347">
        <v>0.25</v>
      </c>
      <c r="D15" s="16"/>
      <c r="E15" s="326"/>
      <c r="F15" s="18"/>
      <c r="G15" s="18"/>
    </row>
    <row r="16" spans="1:37" ht="15.6" x14ac:dyDescent="0.3">
      <c r="B16" s="34" t="s">
        <v>26</v>
      </c>
      <c r="C16" s="32">
        <f>(C14*C12)+((C13*C11)*(1-C15))</f>
        <v>3.015E-2</v>
      </c>
      <c r="D16" s="21"/>
      <c r="E16" s="326" t="s">
        <v>27</v>
      </c>
      <c r="F16" s="18"/>
      <c r="G16" s="18"/>
    </row>
    <row r="17" spans="1:37" ht="15.6" x14ac:dyDescent="0.3">
      <c r="B17" s="34"/>
      <c r="C17" s="32"/>
      <c r="D17" s="21"/>
      <c r="E17" s="326" t="s">
        <v>28</v>
      </c>
      <c r="F17" s="18"/>
      <c r="G17" s="18"/>
    </row>
    <row r="18" spans="1:37" ht="15.6" x14ac:dyDescent="0.3">
      <c r="B18" s="34"/>
      <c r="C18" s="32"/>
      <c r="D18" s="21"/>
      <c r="E18" s="326" t="s">
        <v>29</v>
      </c>
      <c r="F18" s="18"/>
      <c r="G18" s="18"/>
    </row>
    <row r="19" spans="1:37" ht="15.6" x14ac:dyDescent="0.3">
      <c r="B19" s="34"/>
      <c r="D19" s="21"/>
      <c r="E19" s="326" t="s">
        <v>30</v>
      </c>
      <c r="F19" s="18"/>
      <c r="G19" s="18"/>
    </row>
    <row r="20" spans="1:37" ht="15.6" x14ac:dyDescent="0.3">
      <c r="B20" s="34"/>
      <c r="C20" s="32"/>
      <c r="D20" s="21"/>
      <c r="E20" s="326" t="s">
        <v>31</v>
      </c>
      <c r="F20" s="18"/>
      <c r="G20" s="18"/>
    </row>
    <row r="21" spans="1:37" ht="15.6" x14ac:dyDescent="0.3">
      <c r="B21" s="34"/>
      <c r="C21" s="32"/>
      <c r="D21" s="21"/>
      <c r="F21" s="18"/>
      <c r="G21" s="18"/>
      <c r="H21" s="18"/>
    </row>
    <row r="22" spans="1:37" ht="21" x14ac:dyDescent="0.3">
      <c r="A22" s="251" t="s">
        <v>32</v>
      </c>
      <c r="B22" s="238"/>
      <c r="C22" s="25" t="s">
        <v>14</v>
      </c>
      <c r="D22" s="238"/>
      <c r="E22" s="238"/>
      <c r="F22" s="238"/>
      <c r="G22" s="238"/>
      <c r="H22" s="238"/>
      <c r="I22" s="238"/>
      <c r="J22" s="238"/>
      <c r="K22" s="237"/>
      <c r="L22" s="237"/>
      <c r="M22" s="237"/>
      <c r="N22" s="237"/>
      <c r="O22" s="237"/>
      <c r="P22" s="237"/>
      <c r="Q22" s="237"/>
      <c r="R22" s="237"/>
      <c r="S22" s="237"/>
      <c r="T22" s="237"/>
      <c r="U22" s="237"/>
      <c r="V22" s="237"/>
      <c r="W22" s="237"/>
      <c r="X22" s="237"/>
      <c r="Y22" s="237"/>
      <c r="Z22" s="237"/>
      <c r="AA22" s="237"/>
      <c r="AB22" s="237"/>
      <c r="AC22" s="237"/>
      <c r="AD22" s="237"/>
      <c r="AE22" s="237"/>
      <c r="AF22" s="237"/>
      <c r="AG22" s="237"/>
      <c r="AH22" s="237"/>
      <c r="AI22" s="237"/>
      <c r="AJ22" s="237"/>
      <c r="AK22" s="237"/>
    </row>
    <row r="23" spans="1:37" ht="15.6" x14ac:dyDescent="0.3">
      <c r="A23" s="158" t="s">
        <v>15</v>
      </c>
      <c r="B23" s="158"/>
      <c r="C23" s="158"/>
      <c r="D23" s="158"/>
      <c r="E23" s="158"/>
      <c r="F23" s="158"/>
      <c r="G23" s="158"/>
      <c r="H23" s="158"/>
      <c r="I23" s="158"/>
      <c r="J23" s="158"/>
      <c r="K23" s="158"/>
      <c r="L23" s="158"/>
      <c r="M23" s="158"/>
      <c r="N23" s="158"/>
      <c r="O23" s="158"/>
      <c r="P23" s="158"/>
      <c r="Q23" s="158"/>
      <c r="R23" s="158"/>
      <c r="S23" s="158"/>
      <c r="T23" s="158"/>
      <c r="U23" s="158"/>
      <c r="V23" s="158"/>
      <c r="W23" s="158"/>
      <c r="X23" s="158"/>
      <c r="Y23" s="158"/>
      <c r="Z23" s="158"/>
      <c r="AA23" s="158"/>
      <c r="AB23" s="158"/>
      <c r="AC23" s="158"/>
      <c r="AD23" s="158"/>
      <c r="AE23" s="158"/>
      <c r="AF23" s="158"/>
      <c r="AG23" s="158"/>
      <c r="AH23" s="158"/>
      <c r="AI23" s="158"/>
      <c r="AJ23" s="158"/>
      <c r="AK23" s="158"/>
    </row>
    <row r="25" spans="1:37" ht="15.6" x14ac:dyDescent="0.3">
      <c r="E25" s="24" t="s">
        <v>17</v>
      </c>
    </row>
    <row r="26" spans="1:37" ht="15.6" x14ac:dyDescent="0.3">
      <c r="B26" s="54" t="s">
        <v>33</v>
      </c>
      <c r="C26" s="245" t="s">
        <v>290</v>
      </c>
      <c r="D26" s="79"/>
      <c r="E26" s="261" t="s">
        <v>35</v>
      </c>
    </row>
    <row r="27" spans="1:37" ht="15.45" customHeight="1" x14ac:dyDescent="0.3">
      <c r="B27" s="54" t="s">
        <v>36</v>
      </c>
      <c r="C27" s="348" t="s">
        <v>37</v>
      </c>
      <c r="E27" s="336" t="s">
        <v>38</v>
      </c>
    </row>
    <row r="28" spans="1:37" ht="15.45" customHeight="1" x14ac:dyDescent="0.3">
      <c r="B28" s="54" t="s">
        <v>39</v>
      </c>
      <c r="C28" s="348" t="s">
        <v>289</v>
      </c>
      <c r="E28" s="261" t="s">
        <v>41</v>
      </c>
    </row>
    <row r="29" spans="1:37" ht="15.45" customHeight="1" x14ac:dyDescent="0.3">
      <c r="C29" s="267" t="str">
        <f>IF(OR(AND($C$26="E-boiler",$C$28&lt;&gt;'Dropdown lists'!$L$3),AND($C$27="Ja",$C$28&lt;&gt;'Dropdown lists'!$L$3)),"Huidig profiel n.v.t. voor technologie/warmteopslag, selecteer een ander verbruiksprofiel!","")</f>
        <v/>
      </c>
      <c r="E29" s="60" t="s">
        <v>42</v>
      </c>
    </row>
    <row r="30" spans="1:37" ht="14.7" customHeight="1" x14ac:dyDescent="0.3">
      <c r="C30" s="54"/>
    </row>
    <row r="31" spans="1:37" ht="18.45" customHeight="1" x14ac:dyDescent="0.35">
      <c r="B31" s="246" t="str">
        <f>UPPER(C26)</f>
        <v xml:space="preserve">MVR </v>
      </c>
      <c r="E31" s="332" t="str">
        <f>IF($C$27="NEE","","WARMTEOPSLAG")</f>
        <v/>
      </c>
    </row>
    <row r="32" spans="1:37" ht="17.7" customHeight="1" x14ac:dyDescent="0.3">
      <c r="B32" s="21" t="s">
        <v>43</v>
      </c>
      <c r="C32" s="247">
        <v>1000</v>
      </c>
      <c r="D32" s="21" t="s">
        <v>44</v>
      </c>
      <c r="E32" s="369" t="s">
        <v>45</v>
      </c>
      <c r="F32" s="349"/>
      <c r="G32" s="21" t="str">
        <f>IF($C$27="NEE","","kWe")</f>
        <v/>
      </c>
    </row>
    <row r="33" spans="2:9" ht="15.45" customHeight="1" x14ac:dyDescent="0.3">
      <c r="B33" s="21" t="str">
        <f>IF('Berekening business case'!$B$9=1,"Thermisch rendement","COP")</f>
        <v>COP</v>
      </c>
      <c r="C33" s="248">
        <v>6</v>
      </c>
      <c r="D33" s="60" t="str">
        <f>IF('Berekening business case'!$B$9=1,"%","")</f>
        <v/>
      </c>
      <c r="E33" s="369" t="s">
        <v>46</v>
      </c>
      <c r="F33" s="349"/>
      <c r="G33" s="21" t="str">
        <f>IF($C$27="NEE","","%")</f>
        <v/>
      </c>
    </row>
    <row r="34" spans="2:9" ht="15.45" customHeight="1" x14ac:dyDescent="0.3">
      <c r="B34" s="21" t="s">
        <v>47</v>
      </c>
      <c r="C34" s="248">
        <v>15</v>
      </c>
      <c r="D34" s="60" t="s">
        <v>48</v>
      </c>
      <c r="E34" s="21" t="str">
        <f>IF($C$27="NEE","","Warmtehoeveelheid")</f>
        <v/>
      </c>
      <c r="F34" s="349"/>
      <c r="G34" s="21" t="str">
        <f>IF($C$27="NEE","","J")</f>
        <v/>
      </c>
      <c r="H34" s="21"/>
      <c r="I34" s="21"/>
    </row>
    <row r="35" spans="2:9" ht="15.45" customHeight="1" x14ac:dyDescent="0.3">
      <c r="B35" s="21" t="s">
        <v>49</v>
      </c>
      <c r="C35" s="248">
        <v>10</v>
      </c>
      <c r="D35" s="60" t="s">
        <v>48</v>
      </c>
      <c r="G35" s="21"/>
      <c r="H35" s="21"/>
      <c r="I35" s="21"/>
    </row>
    <row r="36" spans="2:9" ht="15.45" customHeight="1" x14ac:dyDescent="0.3">
      <c r="B36" s="21"/>
      <c r="C36" s="91"/>
    </row>
    <row r="37" spans="2:9" ht="18.45" customHeight="1" x14ac:dyDescent="0.35">
      <c r="B37" s="246" t="s">
        <v>50</v>
      </c>
    </row>
    <row r="38" spans="2:9" ht="18.45" customHeight="1" x14ac:dyDescent="0.3">
      <c r="B38" s="249" t="s">
        <v>51</v>
      </c>
    </row>
    <row r="39" spans="2:9" ht="24" customHeight="1" x14ac:dyDescent="0.3">
      <c r="B39" s="21" t="str">
        <f>C26</f>
        <v xml:space="preserve">MVR </v>
      </c>
      <c r="C39" s="250">
        <v>1342</v>
      </c>
      <c r="D39" s="21" t="s">
        <v>52</v>
      </c>
      <c r="E39" s="370" t="s">
        <v>53</v>
      </c>
      <c r="F39" s="349"/>
      <c r="G39" s="21" t="str">
        <f>IF($C$27="NEE","","€/kWth,output")</f>
        <v/>
      </c>
    </row>
    <row r="40" spans="2:9" ht="18.45" customHeight="1" x14ac:dyDescent="0.3">
      <c r="B40" s="21" t="s">
        <v>54</v>
      </c>
      <c r="C40" s="250"/>
      <c r="D40" s="21" t="s">
        <v>55</v>
      </c>
      <c r="E40" s="261" t="s">
        <v>56</v>
      </c>
      <c r="F40" s="349"/>
      <c r="G40" s="21" t="str">
        <f>IF($C$27="NEE","","€")</f>
        <v/>
      </c>
    </row>
    <row r="41" spans="2:9" ht="18.45" customHeight="1" x14ac:dyDescent="0.3">
      <c r="B41" s="21"/>
    </row>
    <row r="42" spans="2:9" ht="18.45" customHeight="1" x14ac:dyDescent="0.3">
      <c r="B42" s="249" t="s">
        <v>57</v>
      </c>
    </row>
    <row r="43" spans="2:9" ht="21" customHeight="1" x14ac:dyDescent="0.3">
      <c r="B43" s="21" t="s">
        <v>58</v>
      </c>
      <c r="C43" s="250" t="s">
        <v>315</v>
      </c>
      <c r="E43" s="21" t="str">
        <f>IF($C$27="NEE","","Kost warmteopslag")</f>
        <v/>
      </c>
      <c r="F43" s="349"/>
      <c r="G43" s="20" t="str">
        <f>IF($C$27="NEE","","€/kW")</f>
        <v/>
      </c>
    </row>
    <row r="44" spans="2:9" ht="19.2" customHeight="1" x14ac:dyDescent="0.3"/>
    <row r="45" spans="2:9" ht="18" x14ac:dyDescent="0.35">
      <c r="B45" s="246" t="s">
        <v>59</v>
      </c>
    </row>
    <row r="46" spans="2:9" ht="15.6" x14ac:dyDescent="0.3">
      <c r="B46" s="249" t="s">
        <v>60</v>
      </c>
      <c r="D46" s="21"/>
    </row>
    <row r="47" spans="2:9" ht="15.45" customHeight="1" x14ac:dyDescent="0.3">
      <c r="B47" s="21" t="s">
        <v>61</v>
      </c>
      <c r="C47" s="349"/>
      <c r="D47" s="21" t="s">
        <v>62</v>
      </c>
    </row>
    <row r="48" spans="2:9" ht="15.45" customHeight="1" x14ac:dyDescent="0.3">
      <c r="B48" s="21" t="s">
        <v>63</v>
      </c>
      <c r="C48" s="349"/>
      <c r="D48" s="21" t="s">
        <v>64</v>
      </c>
    </row>
    <row r="49" spans="1:37" ht="15.45" customHeight="1" x14ac:dyDescent="0.3">
      <c r="B49" s="21" t="s">
        <v>65</v>
      </c>
      <c r="C49" s="349"/>
      <c r="D49" s="21" t="s">
        <v>64</v>
      </c>
    </row>
    <row r="50" spans="1:37" ht="15.45" customHeight="1" x14ac:dyDescent="0.3">
      <c r="B50" s="21"/>
      <c r="D50" s="21"/>
    </row>
    <row r="51" spans="1:37" ht="15.6" x14ac:dyDescent="0.3">
      <c r="B51" s="54" t="str">
        <f>IF('Berekening business case'!$B$9=1,"OVERIGE","")</f>
        <v/>
      </c>
    </row>
    <row r="52" spans="1:37" ht="15.6" x14ac:dyDescent="0.3">
      <c r="B52" s="21" t="str">
        <f>IF('Berekening business case'!$B$9=1,"Balanceringsdiensten","")</f>
        <v/>
      </c>
      <c r="C52" s="248">
        <v>0</v>
      </c>
      <c r="D52" s="21" t="str">
        <f>IF('Berekening business case'!$B$9=1,"€/jaar","")</f>
        <v/>
      </c>
    </row>
    <row r="53" spans="1:37" ht="15.45" customHeight="1" x14ac:dyDescent="0.3"/>
    <row r="55" spans="1:37" ht="21" x14ac:dyDescent="0.3">
      <c r="A55" s="251" t="s">
        <v>66</v>
      </c>
      <c r="B55" s="238"/>
      <c r="C55" s="238"/>
      <c r="D55" s="238"/>
      <c r="E55" s="238"/>
      <c r="F55" s="238"/>
      <c r="G55" s="238"/>
      <c r="H55" s="238"/>
      <c r="I55" s="238"/>
      <c r="J55" s="238"/>
      <c r="K55" s="237"/>
      <c r="L55" s="237"/>
      <c r="M55" s="237"/>
      <c r="N55" s="237"/>
      <c r="O55" s="237"/>
      <c r="P55" s="237"/>
      <c r="Q55" s="237"/>
      <c r="R55" s="237"/>
      <c r="S55" s="237"/>
      <c r="T55" s="237"/>
      <c r="U55" s="237"/>
      <c r="V55" s="237"/>
      <c r="W55" s="237"/>
      <c r="X55" s="237"/>
      <c r="Y55" s="237"/>
      <c r="Z55" s="237"/>
      <c r="AA55" s="237"/>
      <c r="AB55" s="237"/>
      <c r="AC55" s="237"/>
      <c r="AD55" s="237"/>
      <c r="AE55" s="237"/>
      <c r="AF55" s="237"/>
      <c r="AG55" s="237"/>
      <c r="AH55" s="237"/>
      <c r="AI55" s="237"/>
      <c r="AJ55" s="237"/>
      <c r="AK55" s="237"/>
    </row>
    <row r="56" spans="1:37" ht="15.6" x14ac:dyDescent="0.3">
      <c r="A56" s="158" t="s">
        <v>15</v>
      </c>
      <c r="B56" s="158"/>
      <c r="C56" s="158"/>
      <c r="D56" s="158"/>
      <c r="E56" s="158"/>
      <c r="F56" s="158"/>
      <c r="G56" s="158"/>
      <c r="H56" s="158"/>
      <c r="I56" s="158"/>
      <c r="J56" s="158"/>
      <c r="K56" s="158"/>
      <c r="L56" s="158"/>
      <c r="M56" s="158"/>
      <c r="N56" s="158"/>
      <c r="O56" s="158"/>
      <c r="P56" s="158"/>
      <c r="Q56" s="158"/>
      <c r="R56" s="158"/>
      <c r="S56" s="158"/>
      <c r="T56" s="158"/>
      <c r="U56" s="158"/>
      <c r="V56" s="158"/>
      <c r="W56" s="158"/>
      <c r="X56" s="158"/>
      <c r="Y56" s="158"/>
      <c r="Z56" s="158"/>
      <c r="AA56" s="158"/>
      <c r="AB56" s="158"/>
      <c r="AC56" s="158"/>
      <c r="AD56" s="158"/>
      <c r="AE56" s="158"/>
      <c r="AF56" s="158"/>
      <c r="AG56" s="158"/>
      <c r="AH56" s="158"/>
      <c r="AI56" s="158"/>
      <c r="AJ56" s="158"/>
      <c r="AK56" s="158"/>
    </row>
    <row r="57" spans="1:37" ht="15" thickBot="1" x14ac:dyDescent="0.35"/>
    <row r="58" spans="1:37" ht="21" x14ac:dyDescent="0.4">
      <c r="B58" s="257" t="s">
        <v>67</v>
      </c>
      <c r="D58" s="393" t="s">
        <v>68</v>
      </c>
      <c r="E58" s="394"/>
    </row>
    <row r="59" spans="1:37" ht="14.7" customHeight="1" x14ac:dyDescent="0.3">
      <c r="B59" s="382">
        <f ca="1">'Berekening business case'!$B$177</f>
        <v>21364494.717893906</v>
      </c>
      <c r="D59" s="386">
        <f ca="1">'Berekening business case'!$B$179</f>
        <v>7</v>
      </c>
      <c r="E59" s="387"/>
    </row>
    <row r="60" spans="1:37" ht="14.7" customHeight="1" x14ac:dyDescent="0.3">
      <c r="B60" s="382"/>
      <c r="D60" s="386"/>
      <c r="E60" s="387"/>
    </row>
    <row r="61" spans="1:37" ht="14.7" customHeight="1" x14ac:dyDescent="0.3">
      <c r="B61" s="382"/>
      <c r="D61" s="386"/>
      <c r="E61" s="387"/>
    </row>
    <row r="62" spans="1:37" ht="14.7" customHeight="1" x14ac:dyDescent="0.3">
      <c r="B62" s="382"/>
      <c r="D62" s="386"/>
      <c r="E62" s="387"/>
    </row>
    <row r="63" spans="1:37" ht="14.7" customHeight="1" x14ac:dyDescent="0.3">
      <c r="B63" s="382"/>
      <c r="D63" s="386"/>
      <c r="E63" s="387"/>
    </row>
    <row r="64" spans="1:37" ht="14.7" customHeight="1" x14ac:dyDescent="0.3">
      <c r="B64" s="382"/>
      <c r="D64" s="386"/>
      <c r="E64" s="387"/>
    </row>
    <row r="65" spans="2:5" ht="14.7" customHeight="1" x14ac:dyDescent="0.3">
      <c r="B65" s="382"/>
      <c r="D65" s="386"/>
      <c r="E65" s="387"/>
    </row>
    <row r="66" spans="2:5" ht="14.7" customHeight="1" x14ac:dyDescent="0.3">
      <c r="B66" s="382"/>
      <c r="D66" s="386"/>
      <c r="E66" s="387"/>
    </row>
    <row r="67" spans="2:5" ht="14.7" customHeight="1" x14ac:dyDescent="0.3">
      <c r="B67" s="382"/>
      <c r="D67" s="397" t="s">
        <v>48</v>
      </c>
      <c r="E67" s="398"/>
    </row>
    <row r="68" spans="2:5" ht="15" customHeight="1" thickBot="1" x14ac:dyDescent="0.35">
      <c r="B68" s="383"/>
      <c r="D68" s="399"/>
      <c r="E68" s="400"/>
    </row>
    <row r="69" spans="2:5" ht="52.8" x14ac:dyDescent="0.3">
      <c r="B69" s="337" t="s">
        <v>69</v>
      </c>
      <c r="D69" s="392" t="s">
        <v>70</v>
      </c>
      <c r="E69" s="392"/>
    </row>
    <row r="70" spans="2:5" ht="15" customHeight="1" thickBot="1" x14ac:dyDescent="0.45">
      <c r="E70" s="258"/>
    </row>
    <row r="71" spans="2:5" ht="21" x14ac:dyDescent="0.4">
      <c r="B71" s="257" t="s">
        <v>71</v>
      </c>
      <c r="D71" s="393" t="s">
        <v>72</v>
      </c>
      <c r="E71" s="394"/>
    </row>
    <row r="72" spans="2:5" ht="14.7" customHeight="1" x14ac:dyDescent="0.3">
      <c r="B72" s="384">
        <f ca="1">'Berekening business case'!$B$178</f>
        <v>0.20303938731478044</v>
      </c>
      <c r="D72" s="378">
        <f ca="1">'Berekening business case'!$B$180</f>
        <v>2.5756591664800919</v>
      </c>
      <c r="E72" s="395"/>
    </row>
    <row r="73" spans="2:5" ht="14.7" customHeight="1" x14ac:dyDescent="0.3">
      <c r="B73" s="382"/>
      <c r="D73" s="396"/>
      <c r="E73" s="395"/>
    </row>
    <row r="74" spans="2:5" ht="14.7" customHeight="1" x14ac:dyDescent="0.3">
      <c r="B74" s="382"/>
      <c r="D74" s="396"/>
      <c r="E74" s="395"/>
    </row>
    <row r="75" spans="2:5" ht="14.7" customHeight="1" x14ac:dyDescent="0.3">
      <c r="B75" s="382"/>
      <c r="D75" s="396"/>
      <c r="E75" s="395"/>
    </row>
    <row r="76" spans="2:5" ht="14.7" customHeight="1" x14ac:dyDescent="0.3">
      <c r="B76" s="382"/>
      <c r="D76" s="396"/>
      <c r="E76" s="395"/>
    </row>
    <row r="77" spans="2:5" ht="14.7" customHeight="1" x14ac:dyDescent="0.3">
      <c r="B77" s="382"/>
      <c r="D77" s="396"/>
      <c r="E77" s="395"/>
    </row>
    <row r="78" spans="2:5" ht="14.7" customHeight="1" x14ac:dyDescent="0.3">
      <c r="B78" s="382"/>
      <c r="D78" s="396"/>
      <c r="E78" s="395"/>
    </row>
    <row r="79" spans="2:5" ht="14.7" customHeight="1" x14ac:dyDescent="0.3">
      <c r="B79" s="382"/>
      <c r="D79" s="396"/>
      <c r="E79" s="395"/>
    </row>
    <row r="80" spans="2:5" ht="14.7" customHeight="1" x14ac:dyDescent="0.3">
      <c r="B80" s="382"/>
      <c r="D80" s="396"/>
      <c r="E80" s="395"/>
    </row>
    <row r="81" spans="1:37" ht="15" customHeight="1" thickBot="1" x14ac:dyDescent="0.35">
      <c r="B81" s="383"/>
      <c r="D81" s="390"/>
      <c r="E81" s="391"/>
    </row>
    <row r="82" spans="1:37" ht="100.5" customHeight="1" x14ac:dyDescent="0.3">
      <c r="B82" s="338" t="s">
        <v>73</v>
      </c>
      <c r="D82" s="392" t="s">
        <v>74</v>
      </c>
      <c r="E82" s="392"/>
    </row>
    <row r="84" spans="1:37" ht="21" x14ac:dyDescent="0.3">
      <c r="A84" s="251" t="s">
        <v>75</v>
      </c>
      <c r="B84" s="238"/>
      <c r="C84" s="238"/>
      <c r="D84" s="238"/>
      <c r="E84" s="238"/>
      <c r="F84" s="238"/>
      <c r="G84" s="238"/>
      <c r="H84" s="238"/>
      <c r="I84" s="238"/>
      <c r="J84" s="238"/>
      <c r="K84" s="237"/>
      <c r="L84" s="237"/>
      <c r="M84" s="237"/>
      <c r="N84" s="237"/>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row>
    <row r="85" spans="1:37" ht="15.6" x14ac:dyDescent="0.3">
      <c r="A85" s="158" t="s">
        <v>15</v>
      </c>
      <c r="B85" s="158"/>
      <c r="C85" s="158"/>
      <c r="D85" s="158"/>
      <c r="E85" s="158"/>
      <c r="F85" s="158"/>
      <c r="G85" s="158"/>
      <c r="H85" s="158"/>
      <c r="I85" s="158"/>
      <c r="J85" s="158"/>
      <c r="K85" s="158"/>
      <c r="L85" s="158"/>
      <c r="M85" s="158"/>
      <c r="N85" s="158"/>
      <c r="O85" s="158"/>
      <c r="P85" s="158"/>
      <c r="Q85" s="158"/>
      <c r="R85" s="158"/>
      <c r="S85" s="158"/>
      <c r="T85" s="158"/>
      <c r="U85" s="158"/>
      <c r="V85" s="158"/>
      <c r="W85" s="158"/>
      <c r="X85" s="158"/>
      <c r="Y85" s="158"/>
      <c r="Z85" s="158"/>
      <c r="AA85" s="158"/>
      <c r="AB85" s="158"/>
      <c r="AC85" s="158"/>
      <c r="AD85" s="158"/>
      <c r="AE85" s="158"/>
      <c r="AF85" s="158"/>
      <c r="AG85" s="158"/>
      <c r="AH85" s="158"/>
      <c r="AI85" s="158"/>
      <c r="AJ85" s="158"/>
      <c r="AK85" s="158"/>
    </row>
    <row r="87" spans="1:37" ht="18" x14ac:dyDescent="0.35">
      <c r="B87" s="246" t="s">
        <v>76</v>
      </c>
      <c r="D87" s="246" t="s">
        <v>77</v>
      </c>
    </row>
    <row r="88" spans="1:37" ht="14.7" customHeight="1" thickBot="1" x14ac:dyDescent="0.35"/>
    <row r="89" spans="1:37" ht="18" x14ac:dyDescent="0.35">
      <c r="B89" s="253" t="s">
        <v>67</v>
      </c>
      <c r="D89" s="376" t="s">
        <v>67</v>
      </c>
      <c r="E89" s="377"/>
    </row>
    <row r="90" spans="1:37" ht="14.7" customHeight="1" x14ac:dyDescent="0.3">
      <c r="B90" s="382">
        <f ca="1">'Berekening business case'!B270</f>
        <v>13892978.114371926</v>
      </c>
      <c r="D90" s="396">
        <f ca="1">'Berekening business case'!B277</f>
        <v>41850883.369110569</v>
      </c>
      <c r="E90" s="395"/>
    </row>
    <row r="91" spans="1:37" ht="14.7" customHeight="1" x14ac:dyDescent="0.3">
      <c r="B91" s="382"/>
      <c r="D91" s="396"/>
      <c r="E91" s="395"/>
    </row>
    <row r="92" spans="1:37" ht="14.7" customHeight="1" x14ac:dyDescent="0.3">
      <c r="B92" s="382"/>
      <c r="D92" s="396"/>
      <c r="E92" s="395"/>
    </row>
    <row r="93" spans="1:37" ht="14.7" customHeight="1" x14ac:dyDescent="0.3">
      <c r="B93" s="382"/>
      <c r="D93" s="396"/>
      <c r="E93" s="395"/>
    </row>
    <row r="94" spans="1:37" ht="14.7" customHeight="1" x14ac:dyDescent="0.3">
      <c r="B94" s="382"/>
      <c r="D94" s="396"/>
      <c r="E94" s="395"/>
    </row>
    <row r="95" spans="1:37" ht="14.7" customHeight="1" thickBot="1" x14ac:dyDescent="0.35">
      <c r="B95" s="383"/>
      <c r="D95" s="390"/>
      <c r="E95" s="391"/>
    </row>
    <row r="96" spans="1:37" ht="14.7" customHeight="1" thickBot="1" x14ac:dyDescent="0.35">
      <c r="B96" s="252"/>
      <c r="D96" s="256"/>
    </row>
    <row r="97" spans="2:5" ht="18" x14ac:dyDescent="0.35">
      <c r="B97" s="253" t="s">
        <v>71</v>
      </c>
      <c r="D97" s="376" t="s">
        <v>71</v>
      </c>
      <c r="E97" s="377"/>
    </row>
    <row r="98" spans="2:5" ht="14.7" customHeight="1" x14ac:dyDescent="0.3">
      <c r="B98" s="384">
        <f ca="1">'Berekening business case'!B271</f>
        <v>0.14943720141977068</v>
      </c>
      <c r="D98" s="378">
        <f ca="1">'Berekening business case'!B278</f>
        <v>0.25829254814691938</v>
      </c>
      <c r="E98" s="379"/>
    </row>
    <row r="99" spans="2:5" ht="14.7" customHeight="1" x14ac:dyDescent="0.3">
      <c r="B99" s="382"/>
      <c r="D99" s="378"/>
      <c r="E99" s="379"/>
    </row>
    <row r="100" spans="2:5" ht="14.7" customHeight="1" x14ac:dyDescent="0.3">
      <c r="B100" s="382"/>
      <c r="D100" s="378"/>
      <c r="E100" s="379"/>
    </row>
    <row r="101" spans="2:5" ht="14.7" customHeight="1" x14ac:dyDescent="0.3">
      <c r="B101" s="382"/>
      <c r="D101" s="378"/>
      <c r="E101" s="379"/>
    </row>
    <row r="102" spans="2:5" ht="14.7" customHeight="1" x14ac:dyDescent="0.3">
      <c r="B102" s="382"/>
      <c r="D102" s="378"/>
      <c r="E102" s="379"/>
    </row>
    <row r="103" spans="2:5" ht="15" customHeight="1" thickBot="1" x14ac:dyDescent="0.35">
      <c r="B103" s="383"/>
      <c r="D103" s="380"/>
      <c r="E103" s="381"/>
    </row>
    <row r="104" spans="2:5" ht="15" thickBot="1" x14ac:dyDescent="0.35"/>
    <row r="105" spans="2:5" ht="18" x14ac:dyDescent="0.35">
      <c r="B105" s="253" t="s">
        <v>68</v>
      </c>
      <c r="D105" s="376" t="s">
        <v>68</v>
      </c>
      <c r="E105" s="377"/>
    </row>
    <row r="106" spans="2:5" ht="14.7" customHeight="1" x14ac:dyDescent="0.3">
      <c r="B106" s="385">
        <f ca="1">'Berekening business case'!B272</f>
        <v>9</v>
      </c>
      <c r="D106" s="386">
        <f ca="1">'Berekening business case'!B279</f>
        <v>6</v>
      </c>
      <c r="E106" s="387"/>
    </row>
    <row r="107" spans="2:5" ht="14.7" customHeight="1" x14ac:dyDescent="0.3">
      <c r="B107" s="385"/>
      <c r="D107" s="386"/>
      <c r="E107" s="387"/>
    </row>
    <row r="108" spans="2:5" ht="14.7" customHeight="1" x14ac:dyDescent="0.3">
      <c r="B108" s="385"/>
      <c r="D108" s="386"/>
      <c r="E108" s="387"/>
    </row>
    <row r="109" spans="2:5" ht="14.7" customHeight="1" x14ac:dyDescent="0.3">
      <c r="B109" s="385"/>
      <c r="D109" s="386"/>
      <c r="E109" s="387"/>
    </row>
    <row r="110" spans="2:5" ht="14.7" customHeight="1" x14ac:dyDescent="0.3">
      <c r="B110" s="255" t="s">
        <v>48</v>
      </c>
      <c r="D110" s="388" t="s">
        <v>48</v>
      </c>
      <c r="E110" s="389"/>
    </row>
    <row r="111" spans="2:5" ht="15" customHeight="1" thickBot="1" x14ac:dyDescent="0.35">
      <c r="B111" s="254"/>
      <c r="D111" s="390"/>
      <c r="E111" s="391"/>
    </row>
    <row r="112" spans="2:5" ht="15" thickBot="1" x14ac:dyDescent="0.35"/>
    <row r="113" spans="2:5" ht="18" x14ac:dyDescent="0.35">
      <c r="B113" s="253" t="s">
        <v>72</v>
      </c>
      <c r="D113" s="376" t="s">
        <v>72</v>
      </c>
      <c r="E113" s="377"/>
    </row>
    <row r="114" spans="2:5" ht="14.7" customHeight="1" x14ac:dyDescent="0.3">
      <c r="B114" s="384">
        <f ca="1">'Berekening business case'!B273</f>
        <v>1.6749086230445083</v>
      </c>
      <c r="D114" s="378">
        <f ca="1">'Berekening business case'!B280</f>
        <v>5.0454556870308735</v>
      </c>
      <c r="E114" s="379"/>
    </row>
    <row r="115" spans="2:5" ht="14.7" customHeight="1" x14ac:dyDescent="0.3">
      <c r="B115" s="382"/>
      <c r="D115" s="378"/>
      <c r="E115" s="379"/>
    </row>
    <row r="116" spans="2:5" ht="14.7" customHeight="1" x14ac:dyDescent="0.3">
      <c r="B116" s="382"/>
      <c r="D116" s="378"/>
      <c r="E116" s="379"/>
    </row>
    <row r="117" spans="2:5" ht="14.7" customHeight="1" x14ac:dyDescent="0.3">
      <c r="B117" s="382"/>
      <c r="D117" s="378"/>
      <c r="E117" s="379"/>
    </row>
    <row r="118" spans="2:5" ht="14.7" customHeight="1" x14ac:dyDescent="0.3">
      <c r="B118" s="382"/>
      <c r="D118" s="378"/>
      <c r="E118" s="379"/>
    </row>
    <row r="119" spans="2:5" ht="15" customHeight="1" thickBot="1" x14ac:dyDescent="0.35">
      <c r="B119" s="383"/>
      <c r="D119" s="380"/>
      <c r="E119" s="381"/>
    </row>
  </sheetData>
  <mergeCells count="23">
    <mergeCell ref="D58:E58"/>
    <mergeCell ref="D72:E81"/>
    <mergeCell ref="D97:E97"/>
    <mergeCell ref="D59:E66"/>
    <mergeCell ref="D71:E71"/>
    <mergeCell ref="D67:E68"/>
    <mergeCell ref="D89:E89"/>
    <mergeCell ref="D90:E95"/>
    <mergeCell ref="D113:E113"/>
    <mergeCell ref="D114:E119"/>
    <mergeCell ref="B59:B68"/>
    <mergeCell ref="B72:B81"/>
    <mergeCell ref="B106:B109"/>
    <mergeCell ref="B114:B119"/>
    <mergeCell ref="B90:B95"/>
    <mergeCell ref="B98:B103"/>
    <mergeCell ref="D98:E103"/>
    <mergeCell ref="D105:E105"/>
    <mergeCell ref="D106:E109"/>
    <mergeCell ref="D110:E110"/>
    <mergeCell ref="D111:E111"/>
    <mergeCell ref="D69:E69"/>
    <mergeCell ref="D82:E82"/>
  </mergeCells>
  <conditionalFormatting sqref="C33:C35">
    <cfRule type="expression" dxfId="25" priority="12">
      <formula>OR($D$26="1a",$D$26="1b")</formula>
    </cfRule>
  </conditionalFormatting>
  <conditionalFormatting sqref="F32:F34">
    <cfRule type="expression" dxfId="23" priority="11">
      <formula>$C$27="Nee"</formula>
    </cfRule>
  </conditionalFormatting>
  <conditionalFormatting sqref="F39:F40">
    <cfRule type="expression" dxfId="22" priority="6">
      <formula>$C$27="Nee"</formula>
    </cfRule>
  </conditionalFormatting>
  <conditionalFormatting sqref="F43">
    <cfRule type="expression" dxfId="21" priority="5">
      <formula>$C$27="Nee"</formula>
    </cfRule>
  </conditionalFormatting>
  <dataValidations count="3">
    <dataValidation errorStyle="warning" allowBlank="1" showInputMessage="1" showErrorMessage="1" sqref="C36" xr:uid="{3516C1FF-ECCC-4012-BD59-64565022972F}"/>
    <dataValidation allowBlank="1" showErrorMessage="1" sqref="D26" xr:uid="{A821B219-7A32-473E-9A41-5CF90CC82253}"/>
    <dataValidation type="custom" allowBlank="1" showInputMessage="1" showErrorMessage="1" errorTitle="COP enkel voor WP en MVR" error=" COP waarde is enkel voor warmtepomp en MVR van toepassing." sqref="C33:C35" xr:uid="{EE1B4F68-EA85-47D6-83F8-EE086B09C77B}">
      <formula1>IF($B$23="E-boiler", FALSE, TRUE)</formula1>
    </dataValidation>
  </dataValidations>
  <pageMargins left="0.7" right="0.7" top="0.75" bottom="0.75" header="0.3" footer="0.3"/>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2" id="{138274BC-07B7-4C08-A134-F5CF9B80FFE1}">
            <xm:f>AND($C$26="E-boiler",$C$28&lt;&gt;'Dropdown lists'!$L$3)</xm:f>
            <x14:dxf>
              <font>
                <color theme="1"/>
              </font>
              <fill>
                <patternFill>
                  <bgColor rgb="FFFFB09C"/>
                </patternFill>
              </fill>
            </x14:dxf>
          </x14:cfRule>
          <x14:cfRule type="expression" priority="4" id="{FC5D9101-8EC6-4452-83D8-4E18625CA27E}">
            <xm:f>AND($C$27="Ja",$C$28&lt;&gt;'Dropdown lists'!$L$3)</xm:f>
            <x14:dxf>
              <font>
                <color theme="1"/>
              </font>
              <fill>
                <patternFill>
                  <bgColor rgb="FFFFB09C"/>
                </patternFill>
              </fill>
            </x14:dxf>
          </x14:cfRule>
          <xm:sqref>C28</xm:sqref>
        </x14:conditionalFormatting>
        <x14:conditionalFormatting xmlns:xm="http://schemas.microsoft.com/office/excel/2006/main">
          <x14:cfRule type="expression" priority="7" stopIfTrue="1" id="{00000000-000E-0000-0100-000006000000}">
            <xm:f>'Berekening business case'!$B$9&lt;&gt;1</xm:f>
            <x14:dxf>
              <font>
                <color theme="0"/>
              </font>
              <fill>
                <patternFill>
                  <bgColor theme="0"/>
                </patternFill>
              </fill>
            </x14:dxf>
          </x14:cfRule>
          <xm:sqref>C52</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error="Selecteer een ander verbruiksprofiel" xr:uid="{450D9F57-C716-4C23-A825-3B076A001067}">
          <x14:formula1>
            <xm:f>'Dropdown lists'!$L$3:$L$10</xm:f>
          </x14:formula1>
          <xm:sqref>C28</xm:sqref>
        </x14:dataValidation>
        <x14:dataValidation type="list" allowBlank="1" showInputMessage="1" showErrorMessage="1" xr:uid="{3BBD2D35-F49E-4F12-970B-4B2EE73286F1}">
          <x14:formula1>
            <xm:f>'Dropdown lists'!$F$3:$F$4</xm:f>
          </x14:formula1>
          <xm:sqref>C27</xm:sqref>
        </x14:dataValidation>
        <x14:dataValidation type="list" allowBlank="1" showInputMessage="1" showErrorMessage="1" xr:uid="{6A7AEBF7-C56C-4CCD-A39A-90472D105E5E}">
          <x14:formula1>
            <xm:f>'Dropdown lists'!$B$3:$B$5</xm:f>
          </x14:formula1>
          <xm:sqref>C43</xm:sqref>
        </x14:dataValidation>
        <x14:dataValidation type="list" allowBlank="1" showInputMessage="1" showErrorMessage="1" xr:uid="{AB245D57-AA6D-4651-99D5-BF631902E11B}">
          <x14:formula1>
            <xm:f>'Dropdown lists'!$A$3:$A$5</xm:f>
          </x14:formula1>
          <xm:sqref>C26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1CB4D-62DC-4C62-90A6-32A16E757236}">
  <sheetPr>
    <tabColor rgb="FF009B48"/>
  </sheetPr>
  <dimension ref="A1:AV177"/>
  <sheetViews>
    <sheetView workbookViewId="0">
      <selection activeCell="F2" sqref="F2"/>
    </sheetView>
  </sheetViews>
  <sheetFormatPr defaultColWidth="9.109375" defaultRowHeight="14.4" x14ac:dyDescent="0.3"/>
  <cols>
    <col min="1" max="3" width="8.6640625" customWidth="1"/>
    <col min="4" max="4" width="10.33203125" bestFit="1" customWidth="1"/>
    <col min="5" max="5" width="14.44140625" style="343" bestFit="1" customWidth="1"/>
    <col min="6" max="9" width="13.6640625" style="343" bestFit="1" customWidth="1"/>
    <col min="10" max="10" width="14.44140625" style="343" bestFit="1" customWidth="1"/>
    <col min="11" max="14" width="13.6640625" style="343" bestFit="1" customWidth="1"/>
    <col min="15" max="15" width="14.44140625" style="343" bestFit="1" customWidth="1"/>
    <col min="16" max="19" width="13.6640625" style="343" bestFit="1" customWidth="1"/>
    <col min="20" max="20" width="14.44140625" style="343" bestFit="1" customWidth="1"/>
    <col min="21" max="24" width="13.6640625" style="343" bestFit="1" customWidth="1"/>
    <col min="25" max="25" width="14.44140625" style="343" bestFit="1" customWidth="1"/>
    <col min="26" max="29" width="13.6640625" style="343" bestFit="1" customWidth="1"/>
    <col min="30" max="30" width="14.44140625" style="343" bestFit="1" customWidth="1"/>
    <col min="31" max="34" width="13.6640625" style="343" bestFit="1" customWidth="1"/>
    <col min="38" max="38" width="22.6640625" style="60" customWidth="1"/>
    <col min="39" max="39" width="14.109375" style="60" bestFit="1" customWidth="1"/>
    <col min="40" max="40" width="16.33203125" style="60" bestFit="1" customWidth="1"/>
    <col min="41" max="16384" width="9.109375" style="60"/>
  </cols>
  <sheetData>
    <row r="1" spans="1:48" x14ac:dyDescent="0.3">
      <c r="A1" s="8"/>
      <c r="B1" s="9"/>
      <c r="C1" s="9"/>
      <c r="D1" s="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c r="AD1" s="339"/>
      <c r="AE1" s="339"/>
      <c r="AF1" s="339"/>
      <c r="AG1" s="340"/>
      <c r="AH1" s="340"/>
      <c r="AI1" s="60"/>
      <c r="AJ1" s="5"/>
      <c r="AK1" s="5"/>
      <c r="AL1" s="5"/>
      <c r="AM1" s="5"/>
      <c r="AN1" s="5"/>
      <c r="AO1" s="5"/>
      <c r="AP1" s="5"/>
      <c r="AQ1" s="5"/>
      <c r="AR1" s="5"/>
      <c r="AS1" s="5"/>
      <c r="AT1" s="5"/>
      <c r="AU1" s="5"/>
      <c r="AV1" s="5"/>
    </row>
    <row r="2" spans="1:48" ht="33.6" x14ac:dyDescent="0.3">
      <c r="A2" s="10" t="s">
        <v>78</v>
      </c>
      <c r="B2" s="9"/>
      <c r="C2" s="9"/>
      <c r="D2" s="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340"/>
      <c r="AH2" s="340"/>
      <c r="AI2" s="60"/>
      <c r="AJ2" s="5"/>
      <c r="AK2" s="5"/>
      <c r="AL2" s="5"/>
      <c r="AM2" s="5"/>
      <c r="AN2" s="5"/>
      <c r="AO2" s="5"/>
      <c r="AP2" s="5"/>
      <c r="AQ2" s="5"/>
      <c r="AR2" s="5"/>
      <c r="AS2" s="5"/>
      <c r="AT2" s="5"/>
      <c r="AU2" s="5"/>
      <c r="AV2" s="5"/>
    </row>
    <row r="3" spans="1:48" x14ac:dyDescent="0.3">
      <c r="A3" s="8"/>
      <c r="B3" s="9"/>
      <c r="C3" s="9"/>
      <c r="D3" s="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c r="AG3" s="340"/>
      <c r="AH3" s="340"/>
      <c r="AI3" s="60"/>
      <c r="AJ3" s="5"/>
      <c r="AK3" s="5"/>
      <c r="AL3" s="5"/>
      <c r="AM3" s="5"/>
      <c r="AN3" s="5"/>
      <c r="AO3" s="5"/>
      <c r="AP3" s="5"/>
      <c r="AQ3" s="5"/>
      <c r="AR3" s="5"/>
      <c r="AS3" s="5"/>
      <c r="AT3" s="5"/>
      <c r="AU3" s="5"/>
      <c r="AV3" s="5"/>
    </row>
    <row r="4" spans="1:48" x14ac:dyDescent="0.3">
      <c r="A4" s="336" t="s">
        <v>79</v>
      </c>
      <c r="B4" s="60"/>
      <c r="C4" s="60"/>
      <c r="D4" s="60"/>
      <c r="E4" s="341"/>
      <c r="F4" s="341"/>
      <c r="G4" s="341"/>
      <c r="H4" s="341"/>
      <c r="I4" s="341"/>
      <c r="J4" s="341"/>
      <c r="K4" s="341"/>
      <c r="L4" s="341"/>
      <c r="M4" s="341"/>
      <c r="N4" s="341"/>
      <c r="O4" s="341"/>
      <c r="P4" s="341"/>
      <c r="Q4" s="341"/>
      <c r="R4" s="341"/>
      <c r="S4" s="341"/>
      <c r="T4" s="341"/>
      <c r="U4" s="341"/>
      <c r="V4" s="341"/>
      <c r="W4" s="341"/>
      <c r="X4" s="341"/>
      <c r="Y4" s="341"/>
      <c r="Z4" s="341"/>
      <c r="AA4" s="341"/>
      <c r="AB4" s="341"/>
      <c r="AC4" s="341"/>
      <c r="AD4" s="341"/>
      <c r="AE4" s="341"/>
      <c r="AF4" s="341"/>
      <c r="AG4" s="341"/>
      <c r="AH4" s="341"/>
      <c r="AI4" s="60"/>
      <c r="AJ4" s="60"/>
      <c r="AK4" s="60"/>
    </row>
    <row r="5" spans="1:48" ht="15.6" x14ac:dyDescent="0.3">
      <c r="B5" s="11"/>
      <c r="C5" s="11"/>
      <c r="D5" s="11"/>
      <c r="E5" s="341"/>
      <c r="F5" s="341"/>
      <c r="G5" s="341"/>
      <c r="H5" s="341"/>
      <c r="I5" s="341"/>
      <c r="J5" s="341"/>
      <c r="K5" s="341"/>
      <c r="L5" s="341"/>
      <c r="M5" s="341"/>
      <c r="N5" s="341"/>
      <c r="O5" s="341"/>
      <c r="P5" s="341"/>
      <c r="Q5" s="341"/>
      <c r="R5" s="341"/>
      <c r="S5" s="341"/>
      <c r="T5" s="341"/>
      <c r="U5" s="341"/>
      <c r="V5" s="341"/>
      <c r="W5" s="341"/>
      <c r="X5" s="341"/>
      <c r="Y5" s="341"/>
      <c r="Z5" s="341"/>
      <c r="AA5" s="341"/>
      <c r="AB5" s="341"/>
      <c r="AC5" s="341"/>
      <c r="AD5" s="341"/>
      <c r="AE5" s="341"/>
      <c r="AF5" s="341"/>
      <c r="AG5" s="341"/>
      <c r="AH5" s="341"/>
      <c r="AI5" s="60"/>
      <c r="AJ5" s="60"/>
      <c r="AK5" s="60"/>
    </row>
    <row r="6" spans="1:48" ht="15.6" x14ac:dyDescent="0.3">
      <c r="A6" s="11"/>
      <c r="B6" s="11"/>
      <c r="C6" s="11"/>
      <c r="D6" s="11"/>
      <c r="E6" s="341">
        <v>2025</v>
      </c>
      <c r="F6" s="341">
        <v>2026</v>
      </c>
      <c r="G6" s="341">
        <v>2027</v>
      </c>
      <c r="H6" s="341">
        <v>2028</v>
      </c>
      <c r="I6" s="341">
        <v>2029</v>
      </c>
      <c r="J6" s="341">
        <v>2030</v>
      </c>
      <c r="K6" s="341">
        <v>2031</v>
      </c>
      <c r="L6" s="341">
        <v>2032</v>
      </c>
      <c r="M6" s="341">
        <v>2033</v>
      </c>
      <c r="N6" s="341">
        <v>2034</v>
      </c>
      <c r="O6" s="341">
        <v>2035</v>
      </c>
      <c r="P6" s="341">
        <v>2036</v>
      </c>
      <c r="Q6" s="341">
        <v>2037</v>
      </c>
      <c r="R6" s="341">
        <v>2038</v>
      </c>
      <c r="S6" s="341">
        <v>2039</v>
      </c>
      <c r="T6" s="341">
        <v>2040</v>
      </c>
      <c r="U6" s="341">
        <v>2041</v>
      </c>
      <c r="V6" s="341">
        <v>2042</v>
      </c>
      <c r="W6" s="341">
        <v>2043</v>
      </c>
      <c r="X6" s="341">
        <v>2044</v>
      </c>
      <c r="Y6" s="341">
        <v>2045</v>
      </c>
      <c r="Z6" s="341">
        <v>2046</v>
      </c>
      <c r="AA6" s="341">
        <v>2047</v>
      </c>
      <c r="AB6" s="341">
        <v>2048</v>
      </c>
      <c r="AC6" s="341">
        <v>2049</v>
      </c>
      <c r="AD6" s="341">
        <v>2050</v>
      </c>
      <c r="AE6" s="341">
        <v>2051</v>
      </c>
      <c r="AF6" s="341">
        <v>2052</v>
      </c>
      <c r="AG6" s="341">
        <v>2053</v>
      </c>
      <c r="AH6" s="341">
        <v>2054</v>
      </c>
      <c r="AI6" s="60"/>
      <c r="AJ6" s="60"/>
      <c r="AK6" s="60"/>
    </row>
    <row r="7" spans="1:48" ht="15.6" x14ac:dyDescent="0.3">
      <c r="A7" s="66" t="s">
        <v>80</v>
      </c>
      <c r="B7" s="11"/>
      <c r="C7" s="58"/>
      <c r="D7" s="58" t="s">
        <v>81</v>
      </c>
      <c r="E7" s="58">
        <v>1</v>
      </c>
      <c r="F7" s="58">
        <v>2</v>
      </c>
      <c r="G7" s="58">
        <v>3</v>
      </c>
      <c r="H7" s="58">
        <v>4</v>
      </c>
      <c r="I7" s="58">
        <v>5</v>
      </c>
      <c r="J7" s="58">
        <v>6</v>
      </c>
      <c r="K7" s="58">
        <v>7</v>
      </c>
      <c r="L7" s="58">
        <v>8</v>
      </c>
      <c r="M7" s="58">
        <v>9</v>
      </c>
      <c r="N7" s="58">
        <v>10</v>
      </c>
      <c r="O7" s="58">
        <v>11</v>
      </c>
      <c r="P7" s="58">
        <v>12</v>
      </c>
      <c r="Q7" s="58">
        <v>13</v>
      </c>
      <c r="R7" s="58">
        <v>14</v>
      </c>
      <c r="S7" s="58">
        <v>15</v>
      </c>
      <c r="T7" s="58">
        <v>16</v>
      </c>
      <c r="U7" s="58">
        <v>17</v>
      </c>
      <c r="V7" s="58">
        <v>18</v>
      </c>
      <c r="W7" s="58">
        <v>19</v>
      </c>
      <c r="X7" s="58">
        <v>20</v>
      </c>
      <c r="Y7" s="58">
        <v>21</v>
      </c>
      <c r="Z7" s="58">
        <v>22</v>
      </c>
      <c r="AA7" s="58">
        <v>23</v>
      </c>
      <c r="AB7" s="58">
        <v>24</v>
      </c>
      <c r="AC7" s="58">
        <v>25</v>
      </c>
      <c r="AD7" s="58">
        <v>26</v>
      </c>
      <c r="AE7" s="58">
        <v>27</v>
      </c>
      <c r="AF7" s="58">
        <v>28</v>
      </c>
      <c r="AG7" s="58">
        <v>29</v>
      </c>
      <c r="AH7" s="58">
        <v>30</v>
      </c>
      <c r="AI7" s="60"/>
      <c r="AJ7" s="60"/>
      <c r="AK7" s="60"/>
    </row>
    <row r="8" spans="1:48" ht="15.6" x14ac:dyDescent="0.3">
      <c r="A8" s="11" t="s">
        <v>82</v>
      </c>
      <c r="B8" s="11"/>
      <c r="C8" s="33"/>
      <c r="D8" s="33" t="s">
        <v>83</v>
      </c>
      <c r="E8" s="50">
        <v>0</v>
      </c>
      <c r="F8" s="50">
        <v>0</v>
      </c>
      <c r="G8" s="50">
        <v>0</v>
      </c>
      <c r="H8" s="50">
        <v>0</v>
      </c>
      <c r="I8" s="50">
        <v>0</v>
      </c>
      <c r="J8" s="50">
        <v>0</v>
      </c>
      <c r="K8" s="50">
        <v>0</v>
      </c>
      <c r="L8" s="50">
        <v>0</v>
      </c>
      <c r="M8" s="50">
        <v>0</v>
      </c>
      <c r="N8" s="50">
        <v>0</v>
      </c>
      <c r="O8" s="50">
        <v>0</v>
      </c>
      <c r="P8" s="50">
        <v>0</v>
      </c>
      <c r="Q8" s="50">
        <v>0</v>
      </c>
      <c r="R8" s="50">
        <v>0</v>
      </c>
      <c r="S8" s="50">
        <v>0</v>
      </c>
      <c r="T8" s="50">
        <v>0</v>
      </c>
      <c r="U8" s="50">
        <v>0</v>
      </c>
      <c r="V8" s="50">
        <v>0</v>
      </c>
      <c r="W8" s="50">
        <v>0</v>
      </c>
      <c r="X8" s="50">
        <v>0</v>
      </c>
      <c r="Y8" s="50">
        <v>0</v>
      </c>
      <c r="Z8" s="50">
        <v>0</v>
      </c>
      <c r="AA8" s="50">
        <v>0</v>
      </c>
      <c r="AB8" s="50">
        <v>0</v>
      </c>
      <c r="AC8" s="50">
        <v>0</v>
      </c>
      <c r="AD8" s="50">
        <v>0</v>
      </c>
      <c r="AE8" s="50">
        <v>0</v>
      </c>
      <c r="AF8" s="50">
        <v>0</v>
      </c>
      <c r="AG8" s="50">
        <v>0</v>
      </c>
      <c r="AH8" s="50">
        <v>0</v>
      </c>
      <c r="AI8" s="60"/>
      <c r="AJ8" s="60"/>
      <c r="AK8" s="60"/>
    </row>
    <row r="9" spans="1:48" ht="15.6" x14ac:dyDescent="0.3">
      <c r="A9" s="11" t="s">
        <v>84</v>
      </c>
      <c r="B9" s="11"/>
      <c r="C9" s="33"/>
      <c r="D9" s="223" t="s">
        <v>85</v>
      </c>
      <c r="E9" s="35">
        <v>0</v>
      </c>
      <c r="F9" s="35">
        <v>0</v>
      </c>
      <c r="G9" s="35">
        <v>0</v>
      </c>
      <c r="H9" s="35">
        <v>0</v>
      </c>
      <c r="I9" s="35">
        <v>0</v>
      </c>
      <c r="J9" s="35">
        <v>0</v>
      </c>
      <c r="K9" s="35">
        <v>0</v>
      </c>
      <c r="L9" s="35">
        <v>0</v>
      </c>
      <c r="M9" s="35">
        <v>0</v>
      </c>
      <c r="N9" s="35">
        <v>0</v>
      </c>
      <c r="O9" s="35">
        <v>0</v>
      </c>
      <c r="P9" s="35">
        <v>0</v>
      </c>
      <c r="Q9" s="35">
        <v>0</v>
      </c>
      <c r="R9" s="35">
        <v>0</v>
      </c>
      <c r="S9" s="35">
        <v>0</v>
      </c>
      <c r="T9" s="35">
        <v>0</v>
      </c>
      <c r="U9" s="35">
        <v>0</v>
      </c>
      <c r="V9" s="35">
        <v>0</v>
      </c>
      <c r="W9" s="35">
        <v>0</v>
      </c>
      <c r="X9" s="35">
        <v>0</v>
      </c>
      <c r="Y9" s="35">
        <v>0</v>
      </c>
      <c r="Z9" s="35">
        <v>0</v>
      </c>
      <c r="AA9" s="35">
        <v>0</v>
      </c>
      <c r="AB9" s="35">
        <v>0</v>
      </c>
      <c r="AC9" s="35">
        <v>0</v>
      </c>
      <c r="AD9" s="35">
        <v>0</v>
      </c>
      <c r="AE9" s="35">
        <v>0</v>
      </c>
      <c r="AF9" s="35">
        <v>0</v>
      </c>
      <c r="AG9" s="35">
        <v>0</v>
      </c>
      <c r="AH9" s="35">
        <v>0</v>
      </c>
      <c r="AI9" s="60"/>
      <c r="AJ9" s="60"/>
      <c r="AK9" s="60"/>
    </row>
    <row r="10" spans="1:48" ht="18" x14ac:dyDescent="0.3">
      <c r="A10" s="11" t="s">
        <v>86</v>
      </c>
      <c r="B10" s="11"/>
      <c r="C10" s="33"/>
      <c r="D10" s="33" t="s">
        <v>62</v>
      </c>
      <c r="E10" s="50">
        <v>0</v>
      </c>
      <c r="F10" s="50">
        <v>0</v>
      </c>
      <c r="G10" s="50">
        <v>0</v>
      </c>
      <c r="H10" s="50">
        <v>0</v>
      </c>
      <c r="I10" s="50">
        <v>0</v>
      </c>
      <c r="J10" s="50">
        <v>0</v>
      </c>
      <c r="K10" s="50">
        <v>0</v>
      </c>
      <c r="L10" s="50">
        <v>0</v>
      </c>
      <c r="M10" s="50">
        <v>0</v>
      </c>
      <c r="N10" s="50">
        <v>0</v>
      </c>
      <c r="O10" s="50">
        <v>0</v>
      </c>
      <c r="P10" s="50">
        <v>0</v>
      </c>
      <c r="Q10" s="50">
        <v>0</v>
      </c>
      <c r="R10" s="50">
        <v>0</v>
      </c>
      <c r="S10" s="50">
        <v>0</v>
      </c>
      <c r="T10" s="50">
        <v>0</v>
      </c>
      <c r="U10" s="50">
        <v>0</v>
      </c>
      <c r="V10" s="50">
        <v>0</v>
      </c>
      <c r="W10" s="50">
        <v>0</v>
      </c>
      <c r="X10" s="50">
        <v>0</v>
      </c>
      <c r="Y10" s="50">
        <v>0</v>
      </c>
      <c r="Z10" s="50">
        <v>0</v>
      </c>
      <c r="AA10" s="50">
        <v>0</v>
      </c>
      <c r="AB10" s="50">
        <v>0</v>
      </c>
      <c r="AC10" s="50">
        <v>0</v>
      </c>
      <c r="AD10" s="50">
        <v>0</v>
      </c>
      <c r="AE10" s="50">
        <v>0</v>
      </c>
      <c r="AF10" s="50">
        <v>0</v>
      </c>
      <c r="AG10" s="50">
        <v>0</v>
      </c>
      <c r="AH10" s="50">
        <v>0</v>
      </c>
      <c r="AI10" s="60"/>
      <c r="AJ10" s="60"/>
      <c r="AK10" s="60"/>
    </row>
    <row r="11" spans="1:48" ht="15.6" x14ac:dyDescent="0.3">
      <c r="A11" s="11" t="s">
        <v>87</v>
      </c>
      <c r="B11" s="11"/>
      <c r="C11" s="33"/>
      <c r="D11" s="33" t="s">
        <v>88</v>
      </c>
      <c r="E11" s="361">
        <v>0</v>
      </c>
      <c r="F11" s="361">
        <v>0</v>
      </c>
      <c r="G11" s="361">
        <v>0</v>
      </c>
      <c r="H11" s="361">
        <v>0</v>
      </c>
      <c r="I11" s="361">
        <v>0</v>
      </c>
      <c r="J11" s="361">
        <v>0</v>
      </c>
      <c r="K11" s="361">
        <v>0</v>
      </c>
      <c r="L11" s="361">
        <v>0</v>
      </c>
      <c r="M11" s="361">
        <v>0</v>
      </c>
      <c r="N11" s="361">
        <v>0</v>
      </c>
      <c r="O11" s="361">
        <v>0</v>
      </c>
      <c r="P11" s="361">
        <v>0</v>
      </c>
      <c r="Q11" s="361">
        <v>0</v>
      </c>
      <c r="R11" s="361">
        <v>0</v>
      </c>
      <c r="S11" s="361">
        <v>0</v>
      </c>
      <c r="T11" s="361">
        <v>0</v>
      </c>
      <c r="U11" s="361">
        <v>0</v>
      </c>
      <c r="V11" s="361">
        <v>0</v>
      </c>
      <c r="W11" s="361">
        <v>0</v>
      </c>
      <c r="X11" s="361">
        <v>0</v>
      </c>
      <c r="Y11" s="361">
        <v>0</v>
      </c>
      <c r="Z11" s="361">
        <v>0</v>
      </c>
      <c r="AA11" s="361">
        <v>0</v>
      </c>
      <c r="AB11" s="361">
        <v>0</v>
      </c>
      <c r="AC11" s="361">
        <v>0</v>
      </c>
      <c r="AD11" s="361">
        <v>0</v>
      </c>
      <c r="AE11" s="361">
        <v>0</v>
      </c>
      <c r="AF11" s="361">
        <v>0</v>
      </c>
      <c r="AG11" s="361">
        <v>0</v>
      </c>
      <c r="AH11" s="361">
        <v>0</v>
      </c>
      <c r="AI11" s="60"/>
      <c r="AJ11" s="60"/>
      <c r="AK11" s="60"/>
    </row>
    <row r="12" spans="1:48" ht="15.6" x14ac:dyDescent="0.3">
      <c r="A12" s="11"/>
      <c r="B12" s="11"/>
      <c r="C12" s="11"/>
      <c r="D12" s="11"/>
      <c r="E12" s="341"/>
      <c r="F12" s="341"/>
      <c r="G12" s="341"/>
      <c r="H12" s="341"/>
      <c r="I12" s="341"/>
      <c r="J12" s="341"/>
      <c r="K12" s="341"/>
      <c r="L12" s="341"/>
      <c r="M12" s="341"/>
      <c r="N12" s="341"/>
      <c r="O12" s="341"/>
      <c r="P12" s="341"/>
      <c r="Q12" s="341"/>
      <c r="R12" s="341"/>
      <c r="S12" s="341"/>
      <c r="T12" s="341"/>
      <c r="U12" s="341"/>
      <c r="V12" s="341"/>
      <c r="W12" s="341"/>
      <c r="X12" s="341"/>
      <c r="Y12" s="341"/>
      <c r="Z12" s="341"/>
      <c r="AA12" s="341"/>
      <c r="AB12" s="341"/>
      <c r="AC12" s="341"/>
      <c r="AD12" s="341"/>
      <c r="AE12" s="341"/>
      <c r="AF12" s="341"/>
      <c r="AG12" s="341"/>
      <c r="AH12" s="341"/>
      <c r="AI12" s="60"/>
      <c r="AJ12" s="60"/>
      <c r="AK12" s="60"/>
    </row>
    <row r="13" spans="1:48" ht="15.6" x14ac:dyDescent="0.3">
      <c r="A13" s="66" t="s">
        <v>89</v>
      </c>
      <c r="B13" s="11"/>
      <c r="C13" s="11"/>
      <c r="D13" s="58" t="s">
        <v>81</v>
      </c>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60"/>
      <c r="AJ13" s="60"/>
      <c r="AK13" s="60"/>
    </row>
    <row r="14" spans="1:48" ht="18" x14ac:dyDescent="0.3">
      <c r="A14" s="11" t="s">
        <v>82</v>
      </c>
      <c r="B14" s="11"/>
      <c r="C14" s="11"/>
      <c r="D14" s="33" t="s">
        <v>90</v>
      </c>
      <c r="E14" s="50">
        <v>0</v>
      </c>
      <c r="F14" s="50">
        <v>0</v>
      </c>
      <c r="G14" s="50">
        <v>0</v>
      </c>
      <c r="H14" s="50">
        <v>0</v>
      </c>
      <c r="I14" s="50">
        <v>0</v>
      </c>
      <c r="J14" s="50">
        <v>0</v>
      </c>
      <c r="K14" s="50">
        <v>0</v>
      </c>
      <c r="L14" s="50">
        <v>0</v>
      </c>
      <c r="M14" s="50">
        <v>0</v>
      </c>
      <c r="N14" s="50">
        <v>0</v>
      </c>
      <c r="O14" s="50">
        <v>0</v>
      </c>
      <c r="P14" s="50">
        <v>0</v>
      </c>
      <c r="Q14" s="50">
        <v>0</v>
      </c>
      <c r="R14" s="50">
        <v>0</v>
      </c>
      <c r="S14" s="50">
        <v>0</v>
      </c>
      <c r="T14" s="50">
        <v>0</v>
      </c>
      <c r="U14" s="50">
        <v>0</v>
      </c>
      <c r="V14" s="50">
        <v>0</v>
      </c>
      <c r="W14" s="50">
        <v>0</v>
      </c>
      <c r="X14" s="50">
        <v>0</v>
      </c>
      <c r="Y14" s="50">
        <v>0</v>
      </c>
      <c r="Z14" s="50">
        <v>0</v>
      </c>
      <c r="AA14" s="50">
        <v>0</v>
      </c>
      <c r="AB14" s="50">
        <v>0</v>
      </c>
      <c r="AC14" s="50">
        <v>0</v>
      </c>
      <c r="AD14" s="50">
        <v>0</v>
      </c>
      <c r="AE14" s="50">
        <v>0</v>
      </c>
      <c r="AF14" s="50">
        <v>0</v>
      </c>
      <c r="AG14" s="50">
        <v>0</v>
      </c>
      <c r="AH14" s="50">
        <v>0</v>
      </c>
      <c r="AI14" s="60"/>
      <c r="AJ14" s="60"/>
      <c r="AK14" s="60"/>
    </row>
    <row r="15" spans="1:48" ht="15.6" x14ac:dyDescent="0.3">
      <c r="A15" s="11" t="s">
        <v>84</v>
      </c>
      <c r="B15" s="11"/>
      <c r="C15" s="11"/>
      <c r="D15" s="223" t="s">
        <v>85</v>
      </c>
      <c r="E15" s="35">
        <v>0</v>
      </c>
      <c r="F15" s="35">
        <v>0</v>
      </c>
      <c r="G15" s="35">
        <v>0</v>
      </c>
      <c r="H15" s="35">
        <v>0</v>
      </c>
      <c r="I15" s="35">
        <v>0</v>
      </c>
      <c r="J15" s="35">
        <v>0</v>
      </c>
      <c r="K15" s="35">
        <v>0</v>
      </c>
      <c r="L15" s="35">
        <v>0</v>
      </c>
      <c r="M15" s="35">
        <v>0</v>
      </c>
      <c r="N15" s="35">
        <v>0</v>
      </c>
      <c r="O15" s="35">
        <v>0</v>
      </c>
      <c r="P15" s="35">
        <v>0</v>
      </c>
      <c r="Q15" s="35">
        <v>0</v>
      </c>
      <c r="R15" s="35">
        <v>0</v>
      </c>
      <c r="S15" s="35">
        <v>0</v>
      </c>
      <c r="T15" s="35">
        <v>0</v>
      </c>
      <c r="U15" s="35">
        <v>0</v>
      </c>
      <c r="V15" s="35">
        <v>0</v>
      </c>
      <c r="W15" s="35">
        <v>0</v>
      </c>
      <c r="X15" s="35">
        <v>0</v>
      </c>
      <c r="Y15" s="35">
        <v>0</v>
      </c>
      <c r="Z15" s="35">
        <v>0</v>
      </c>
      <c r="AA15" s="35">
        <v>0</v>
      </c>
      <c r="AB15" s="35">
        <v>0</v>
      </c>
      <c r="AC15" s="35">
        <v>0</v>
      </c>
      <c r="AD15" s="35">
        <v>0</v>
      </c>
      <c r="AE15" s="35">
        <v>0</v>
      </c>
      <c r="AF15" s="35">
        <v>0</v>
      </c>
      <c r="AG15" s="35">
        <v>0</v>
      </c>
      <c r="AH15" s="35">
        <v>0</v>
      </c>
      <c r="AI15" s="60"/>
      <c r="AJ15" s="60"/>
      <c r="AK15" s="60"/>
    </row>
    <row r="16" spans="1:48" ht="18" x14ac:dyDescent="0.3">
      <c r="A16" s="11" t="s">
        <v>86</v>
      </c>
      <c r="B16" s="11"/>
      <c r="C16" s="11"/>
      <c r="D16" s="33" t="s">
        <v>62</v>
      </c>
      <c r="E16" s="50">
        <v>0</v>
      </c>
      <c r="F16" s="50">
        <v>0</v>
      </c>
      <c r="G16" s="50">
        <v>0</v>
      </c>
      <c r="H16" s="50">
        <v>0</v>
      </c>
      <c r="I16" s="50">
        <v>0</v>
      </c>
      <c r="J16" s="50">
        <v>0</v>
      </c>
      <c r="K16" s="50">
        <v>0</v>
      </c>
      <c r="L16" s="50">
        <v>0</v>
      </c>
      <c r="M16" s="50">
        <v>0</v>
      </c>
      <c r="N16" s="50">
        <v>0</v>
      </c>
      <c r="O16" s="50">
        <v>0</v>
      </c>
      <c r="P16" s="50">
        <v>0</v>
      </c>
      <c r="Q16" s="50">
        <v>0</v>
      </c>
      <c r="R16" s="50">
        <v>0</v>
      </c>
      <c r="S16" s="50">
        <v>0</v>
      </c>
      <c r="T16" s="50">
        <v>0</v>
      </c>
      <c r="U16" s="50">
        <v>0</v>
      </c>
      <c r="V16" s="50">
        <v>0</v>
      </c>
      <c r="W16" s="50">
        <v>0</v>
      </c>
      <c r="X16" s="50">
        <v>0</v>
      </c>
      <c r="Y16" s="50">
        <v>0</v>
      </c>
      <c r="Z16" s="50">
        <v>0</v>
      </c>
      <c r="AA16" s="50">
        <v>0</v>
      </c>
      <c r="AB16" s="50">
        <v>0</v>
      </c>
      <c r="AC16" s="50">
        <v>0</v>
      </c>
      <c r="AD16" s="50">
        <v>0</v>
      </c>
      <c r="AE16" s="50">
        <v>0</v>
      </c>
      <c r="AF16" s="50">
        <v>0</v>
      </c>
      <c r="AG16" s="50">
        <v>0</v>
      </c>
      <c r="AH16" s="50">
        <v>0</v>
      </c>
      <c r="AI16" s="60"/>
      <c r="AJ16" s="60"/>
      <c r="AK16" s="60"/>
    </row>
    <row r="17" spans="1:37" ht="15.6" x14ac:dyDescent="0.3">
      <c r="A17" s="11" t="s">
        <v>87</v>
      </c>
      <c r="B17" s="11"/>
      <c r="C17" s="33"/>
      <c r="D17" s="33" t="s">
        <v>88</v>
      </c>
      <c r="E17" s="361">
        <v>0</v>
      </c>
      <c r="F17" s="361">
        <v>0</v>
      </c>
      <c r="G17" s="361">
        <v>0</v>
      </c>
      <c r="H17" s="361">
        <v>0</v>
      </c>
      <c r="I17" s="361">
        <v>0</v>
      </c>
      <c r="J17" s="361">
        <v>0</v>
      </c>
      <c r="K17" s="361">
        <v>0</v>
      </c>
      <c r="L17" s="361">
        <v>0</v>
      </c>
      <c r="M17" s="361">
        <v>0</v>
      </c>
      <c r="N17" s="361">
        <v>0</v>
      </c>
      <c r="O17" s="361">
        <v>0</v>
      </c>
      <c r="P17" s="361">
        <v>0</v>
      </c>
      <c r="Q17" s="361">
        <v>0</v>
      </c>
      <c r="R17" s="361">
        <v>0</v>
      </c>
      <c r="S17" s="361">
        <v>0</v>
      </c>
      <c r="T17" s="361">
        <v>0</v>
      </c>
      <c r="U17" s="361">
        <v>0</v>
      </c>
      <c r="V17" s="361">
        <v>0</v>
      </c>
      <c r="W17" s="361">
        <v>0</v>
      </c>
      <c r="X17" s="361">
        <v>0</v>
      </c>
      <c r="Y17" s="361">
        <v>0</v>
      </c>
      <c r="Z17" s="361">
        <v>0</v>
      </c>
      <c r="AA17" s="361">
        <v>0</v>
      </c>
      <c r="AB17" s="361">
        <v>0</v>
      </c>
      <c r="AC17" s="361">
        <v>0</v>
      </c>
      <c r="AD17" s="361">
        <v>0</v>
      </c>
      <c r="AE17" s="361">
        <v>0</v>
      </c>
      <c r="AF17" s="361">
        <v>0</v>
      </c>
      <c r="AG17" s="361">
        <v>0</v>
      </c>
      <c r="AH17" s="361">
        <v>0</v>
      </c>
      <c r="AI17" s="60"/>
      <c r="AJ17" s="60"/>
      <c r="AK17" s="60"/>
    </row>
    <row r="18" spans="1:37" ht="15.6" x14ac:dyDescent="0.3">
      <c r="A18" s="11"/>
      <c r="B18" s="11"/>
      <c r="C18" s="11"/>
      <c r="D18" s="11"/>
      <c r="E18" s="341"/>
      <c r="F18" s="341"/>
      <c r="G18" s="341"/>
      <c r="H18" s="341"/>
      <c r="I18" s="341"/>
      <c r="J18" s="341"/>
      <c r="K18" s="341"/>
      <c r="L18" s="341"/>
      <c r="M18" s="341"/>
      <c r="N18" s="341"/>
      <c r="O18" s="341"/>
      <c r="P18" s="341"/>
      <c r="Q18" s="341"/>
      <c r="R18" s="341"/>
      <c r="S18" s="341"/>
      <c r="T18" s="341"/>
      <c r="U18" s="341"/>
      <c r="V18" s="341"/>
      <c r="W18" s="341"/>
      <c r="X18" s="341"/>
      <c r="Y18" s="341"/>
      <c r="Z18" s="341"/>
      <c r="AA18" s="341"/>
      <c r="AB18" s="341"/>
      <c r="AC18" s="341"/>
      <c r="AD18" s="341"/>
      <c r="AE18" s="341"/>
      <c r="AF18" s="341"/>
      <c r="AG18" s="341"/>
      <c r="AH18" s="341"/>
      <c r="AI18" s="60"/>
      <c r="AJ18" s="60"/>
      <c r="AK18" s="60"/>
    </row>
    <row r="19" spans="1:37" ht="15.6" x14ac:dyDescent="0.3">
      <c r="A19" s="66" t="s">
        <v>91</v>
      </c>
      <c r="B19" s="11"/>
      <c r="C19" s="11"/>
      <c r="D19" s="58" t="s">
        <v>81</v>
      </c>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60"/>
      <c r="AJ19" s="60"/>
      <c r="AK19" s="60"/>
    </row>
    <row r="20" spans="1:37" ht="18" x14ac:dyDescent="0.3">
      <c r="A20" s="11" t="s">
        <v>82</v>
      </c>
      <c r="B20" s="11"/>
      <c r="C20" s="11"/>
      <c r="D20" s="33" t="s">
        <v>90</v>
      </c>
      <c r="E20" s="50">
        <v>0</v>
      </c>
      <c r="F20" s="50">
        <v>0</v>
      </c>
      <c r="G20" s="50">
        <v>0</v>
      </c>
      <c r="H20" s="50">
        <v>0</v>
      </c>
      <c r="I20" s="50">
        <v>0</v>
      </c>
      <c r="J20" s="50">
        <v>0</v>
      </c>
      <c r="K20" s="50">
        <v>0</v>
      </c>
      <c r="L20" s="50">
        <v>0</v>
      </c>
      <c r="M20" s="50">
        <v>0</v>
      </c>
      <c r="N20" s="50">
        <v>0</v>
      </c>
      <c r="O20" s="50">
        <v>0</v>
      </c>
      <c r="P20" s="50">
        <v>0</v>
      </c>
      <c r="Q20" s="50">
        <v>0</v>
      </c>
      <c r="R20" s="50">
        <v>0</v>
      </c>
      <c r="S20" s="50">
        <v>0</v>
      </c>
      <c r="T20" s="50">
        <v>0</v>
      </c>
      <c r="U20" s="50">
        <v>0</v>
      </c>
      <c r="V20" s="50">
        <v>0</v>
      </c>
      <c r="W20" s="50">
        <v>0</v>
      </c>
      <c r="X20" s="50">
        <v>0</v>
      </c>
      <c r="Y20" s="50">
        <v>0</v>
      </c>
      <c r="Z20" s="50">
        <v>0</v>
      </c>
      <c r="AA20" s="50">
        <v>0</v>
      </c>
      <c r="AB20" s="50">
        <v>0</v>
      </c>
      <c r="AC20" s="50">
        <v>0</v>
      </c>
      <c r="AD20" s="50">
        <v>0</v>
      </c>
      <c r="AE20" s="50">
        <v>0</v>
      </c>
      <c r="AF20" s="50">
        <v>0</v>
      </c>
      <c r="AG20" s="50">
        <v>0</v>
      </c>
      <c r="AH20" s="50">
        <v>0</v>
      </c>
      <c r="AI20" s="60"/>
      <c r="AJ20" s="60"/>
      <c r="AK20" s="60"/>
    </row>
    <row r="21" spans="1:37" ht="15.6" x14ac:dyDescent="0.3">
      <c r="A21" s="11" t="s">
        <v>84</v>
      </c>
      <c r="B21" s="11"/>
      <c r="C21" s="11"/>
      <c r="D21" s="223" t="s">
        <v>85</v>
      </c>
      <c r="E21" s="35">
        <v>0</v>
      </c>
      <c r="F21" s="35">
        <v>0</v>
      </c>
      <c r="G21" s="35">
        <v>0</v>
      </c>
      <c r="H21" s="35">
        <v>0</v>
      </c>
      <c r="I21" s="35">
        <v>0</v>
      </c>
      <c r="J21" s="35">
        <v>0</v>
      </c>
      <c r="K21" s="35">
        <v>0</v>
      </c>
      <c r="L21" s="35">
        <v>0</v>
      </c>
      <c r="M21" s="35">
        <v>0</v>
      </c>
      <c r="N21" s="35">
        <v>0</v>
      </c>
      <c r="O21" s="35">
        <v>0</v>
      </c>
      <c r="P21" s="35">
        <v>0</v>
      </c>
      <c r="Q21" s="35">
        <v>0</v>
      </c>
      <c r="R21" s="35">
        <v>0</v>
      </c>
      <c r="S21" s="35">
        <v>0</v>
      </c>
      <c r="T21" s="35">
        <v>0</v>
      </c>
      <c r="U21" s="35">
        <v>0</v>
      </c>
      <c r="V21" s="35">
        <v>0</v>
      </c>
      <c r="W21" s="35">
        <v>0</v>
      </c>
      <c r="X21" s="35">
        <v>0</v>
      </c>
      <c r="Y21" s="35">
        <v>0</v>
      </c>
      <c r="Z21" s="35">
        <v>0</v>
      </c>
      <c r="AA21" s="35">
        <v>0</v>
      </c>
      <c r="AB21" s="35">
        <v>0</v>
      </c>
      <c r="AC21" s="35">
        <v>0</v>
      </c>
      <c r="AD21" s="35">
        <v>0</v>
      </c>
      <c r="AE21" s="35">
        <v>0</v>
      </c>
      <c r="AF21" s="35">
        <v>0</v>
      </c>
      <c r="AG21" s="35">
        <v>0</v>
      </c>
      <c r="AH21" s="35">
        <v>0</v>
      </c>
      <c r="AI21" s="60"/>
      <c r="AJ21" s="60"/>
      <c r="AK21" s="60"/>
    </row>
    <row r="22" spans="1:37" ht="18" x14ac:dyDescent="0.3">
      <c r="A22" s="11" t="s">
        <v>86</v>
      </c>
      <c r="B22" s="11"/>
      <c r="C22" s="11"/>
      <c r="D22" s="33" t="s">
        <v>62</v>
      </c>
      <c r="E22" s="50">
        <v>0</v>
      </c>
      <c r="F22" s="50">
        <v>0</v>
      </c>
      <c r="G22" s="50">
        <v>0</v>
      </c>
      <c r="H22" s="50">
        <v>0</v>
      </c>
      <c r="I22" s="50">
        <v>0</v>
      </c>
      <c r="J22" s="50">
        <v>0</v>
      </c>
      <c r="K22" s="50">
        <v>0</v>
      </c>
      <c r="L22" s="50">
        <v>0</v>
      </c>
      <c r="M22" s="50">
        <v>0</v>
      </c>
      <c r="N22" s="50">
        <v>0</v>
      </c>
      <c r="O22" s="50">
        <v>0</v>
      </c>
      <c r="P22" s="50">
        <v>0</v>
      </c>
      <c r="Q22" s="50">
        <v>0</v>
      </c>
      <c r="R22" s="50">
        <v>0</v>
      </c>
      <c r="S22" s="50">
        <v>0</v>
      </c>
      <c r="T22" s="50">
        <v>0</v>
      </c>
      <c r="U22" s="50">
        <v>0</v>
      </c>
      <c r="V22" s="50">
        <v>0</v>
      </c>
      <c r="W22" s="50">
        <v>0</v>
      </c>
      <c r="X22" s="50">
        <v>0</v>
      </c>
      <c r="Y22" s="50">
        <v>0</v>
      </c>
      <c r="Z22" s="50">
        <v>0</v>
      </c>
      <c r="AA22" s="50">
        <v>0</v>
      </c>
      <c r="AB22" s="50">
        <v>0</v>
      </c>
      <c r="AC22" s="50">
        <v>0</v>
      </c>
      <c r="AD22" s="50">
        <v>0</v>
      </c>
      <c r="AE22" s="50">
        <v>0</v>
      </c>
      <c r="AF22" s="50">
        <v>0</v>
      </c>
      <c r="AG22" s="50">
        <v>0</v>
      </c>
      <c r="AH22" s="50">
        <v>0</v>
      </c>
      <c r="AI22" s="60"/>
      <c r="AJ22" s="60"/>
      <c r="AK22" s="60"/>
    </row>
    <row r="23" spans="1:37" ht="15.6" x14ac:dyDescent="0.3">
      <c r="A23" s="11" t="s">
        <v>87</v>
      </c>
      <c r="B23" s="11"/>
      <c r="C23" s="33"/>
      <c r="D23" s="33" t="s">
        <v>88</v>
      </c>
      <c r="E23" s="361">
        <v>0</v>
      </c>
      <c r="F23" s="361">
        <v>0</v>
      </c>
      <c r="G23" s="361">
        <v>0</v>
      </c>
      <c r="H23" s="361">
        <v>0</v>
      </c>
      <c r="I23" s="361">
        <v>0</v>
      </c>
      <c r="J23" s="361">
        <v>0</v>
      </c>
      <c r="K23" s="361">
        <v>0</v>
      </c>
      <c r="L23" s="361">
        <v>0</v>
      </c>
      <c r="M23" s="361">
        <v>0</v>
      </c>
      <c r="N23" s="361">
        <v>0</v>
      </c>
      <c r="O23" s="361">
        <v>0</v>
      </c>
      <c r="P23" s="361">
        <v>0</v>
      </c>
      <c r="Q23" s="361">
        <v>0</v>
      </c>
      <c r="R23" s="361">
        <v>0</v>
      </c>
      <c r="S23" s="361">
        <v>0</v>
      </c>
      <c r="T23" s="361">
        <v>0</v>
      </c>
      <c r="U23" s="361">
        <v>0</v>
      </c>
      <c r="V23" s="361">
        <v>0</v>
      </c>
      <c r="W23" s="361">
        <v>0</v>
      </c>
      <c r="X23" s="361">
        <v>0</v>
      </c>
      <c r="Y23" s="361">
        <v>0</v>
      </c>
      <c r="Z23" s="361">
        <v>0</v>
      </c>
      <c r="AA23" s="361">
        <v>0</v>
      </c>
      <c r="AB23" s="361">
        <v>0</v>
      </c>
      <c r="AC23" s="361">
        <v>0</v>
      </c>
      <c r="AD23" s="361">
        <v>0</v>
      </c>
      <c r="AE23" s="361">
        <v>0</v>
      </c>
      <c r="AF23" s="361">
        <v>0</v>
      </c>
      <c r="AG23" s="361">
        <v>0</v>
      </c>
      <c r="AH23" s="361">
        <v>0</v>
      </c>
      <c r="AI23" s="60"/>
      <c r="AJ23" s="60"/>
      <c r="AK23" s="60"/>
    </row>
    <row r="24" spans="1:37" x14ac:dyDescent="0.3">
      <c r="A24" s="60"/>
      <c r="B24" s="60"/>
      <c r="C24" s="60"/>
      <c r="D24" s="60"/>
      <c r="E24" s="341"/>
      <c r="F24" s="341"/>
      <c r="G24" s="341"/>
      <c r="H24" s="341"/>
      <c r="I24" s="341"/>
      <c r="J24" s="341"/>
      <c r="K24" s="341"/>
      <c r="L24" s="341"/>
      <c r="M24" s="341"/>
      <c r="N24" s="341"/>
      <c r="O24" s="341"/>
      <c r="P24" s="341"/>
      <c r="Q24" s="341"/>
      <c r="R24" s="341"/>
      <c r="S24" s="341"/>
      <c r="T24" s="341"/>
      <c r="U24" s="341"/>
      <c r="V24" s="341"/>
      <c r="W24" s="341"/>
      <c r="X24" s="341"/>
      <c r="Y24" s="341"/>
      <c r="Z24" s="341"/>
      <c r="AA24" s="341"/>
      <c r="AB24" s="341"/>
      <c r="AC24" s="341"/>
      <c r="AD24" s="341"/>
      <c r="AE24" s="341"/>
      <c r="AF24" s="341"/>
      <c r="AG24" s="341"/>
      <c r="AH24" s="341"/>
      <c r="AI24" s="60"/>
      <c r="AJ24" s="60"/>
      <c r="AK24" s="60"/>
    </row>
    <row r="25" spans="1:37" x14ac:dyDescent="0.3">
      <c r="A25" s="60"/>
      <c r="B25" s="60"/>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row>
    <row r="26" spans="1:37" x14ac:dyDescent="0.3">
      <c r="A26" s="60"/>
      <c r="B26" s="60"/>
      <c r="C26" s="60"/>
      <c r="D26" s="60"/>
      <c r="E26" s="60"/>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row>
    <row r="27" spans="1:37" x14ac:dyDescent="0.3">
      <c r="A27" s="60"/>
      <c r="B27" s="60"/>
      <c r="C27" s="60"/>
      <c r="D27" s="60"/>
      <c r="E27" s="60"/>
      <c r="F27" s="60"/>
      <c r="G27" s="60"/>
      <c r="H27" s="60"/>
      <c r="I27" s="60"/>
      <c r="J27" s="60"/>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60"/>
    </row>
    <row r="28" spans="1:37" x14ac:dyDescent="0.3">
      <c r="A28" s="60"/>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row>
    <row r="29" spans="1:37" x14ac:dyDescent="0.3">
      <c r="A29" s="60"/>
      <c r="B29" s="60"/>
      <c r="C29" s="60"/>
      <c r="D29" s="60"/>
      <c r="E29" s="60"/>
      <c r="F29" s="60"/>
      <c r="G29" s="60"/>
      <c r="H29" s="60"/>
      <c r="I29" s="60"/>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0"/>
    </row>
    <row r="30" spans="1:37" x14ac:dyDescent="0.3">
      <c r="A30" s="60"/>
      <c r="B30" s="60"/>
      <c r="C30" s="60"/>
      <c r="D30" s="60"/>
      <c r="E30" s="60"/>
      <c r="F30" s="60"/>
      <c r="G30" s="60"/>
      <c r="H30" s="60"/>
      <c r="I30" s="60"/>
      <c r="J30" s="60"/>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row>
    <row r="31" spans="1:37" x14ac:dyDescent="0.3">
      <c r="A31" s="60"/>
      <c r="B31" s="60"/>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row>
    <row r="32" spans="1:37" x14ac:dyDescent="0.3">
      <c r="A32" s="60"/>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row>
    <row r="33" s="60" customFormat="1" x14ac:dyDescent="0.3"/>
    <row r="34" s="60" customFormat="1" x14ac:dyDescent="0.3"/>
    <row r="35" s="60" customFormat="1" x14ac:dyDescent="0.3"/>
    <row r="36" s="60" customFormat="1" x14ac:dyDescent="0.3"/>
    <row r="37" s="60" customFormat="1" x14ac:dyDescent="0.3"/>
    <row r="38" s="60" customFormat="1" x14ac:dyDescent="0.3"/>
    <row r="39" s="60" customFormat="1" x14ac:dyDescent="0.3"/>
    <row r="40" s="60" customFormat="1" x14ac:dyDescent="0.3"/>
    <row r="41" s="60" customFormat="1" x14ac:dyDescent="0.3"/>
    <row r="42" s="60" customFormat="1" x14ac:dyDescent="0.3"/>
    <row r="43" s="60" customFormat="1" x14ac:dyDescent="0.3"/>
    <row r="44" s="60" customFormat="1" x14ac:dyDescent="0.3"/>
    <row r="45" s="60" customFormat="1" x14ac:dyDescent="0.3"/>
    <row r="46" s="60" customFormat="1" x14ac:dyDescent="0.3"/>
    <row r="47" s="60" customFormat="1" x14ac:dyDescent="0.3"/>
    <row r="48" s="60" customFormat="1" x14ac:dyDescent="0.3"/>
    <row r="49" s="60" customFormat="1" x14ac:dyDescent="0.3"/>
    <row r="50" s="60" customFormat="1" x14ac:dyDescent="0.3"/>
    <row r="51" s="60" customFormat="1" x14ac:dyDescent="0.3"/>
    <row r="52" s="60" customFormat="1" x14ac:dyDescent="0.3"/>
    <row r="53" s="60" customFormat="1" x14ac:dyDescent="0.3"/>
    <row r="54" s="60" customFormat="1" x14ac:dyDescent="0.3"/>
    <row r="55" s="60" customFormat="1" x14ac:dyDescent="0.3"/>
    <row r="56" s="60" customFormat="1" x14ac:dyDescent="0.3"/>
    <row r="57" s="60" customFormat="1" x14ac:dyDescent="0.3"/>
    <row r="58" s="60" customFormat="1" x14ac:dyDescent="0.3"/>
    <row r="59" s="60" customFormat="1" x14ac:dyDescent="0.3"/>
    <row r="60" s="60" customFormat="1" x14ac:dyDescent="0.3"/>
    <row r="61" s="60" customFormat="1" x14ac:dyDescent="0.3"/>
    <row r="62" s="60" customFormat="1" x14ac:dyDescent="0.3"/>
    <row r="63" s="60" customFormat="1" x14ac:dyDescent="0.3"/>
    <row r="64" s="60" customFormat="1" x14ac:dyDescent="0.3"/>
    <row r="65" s="60" customFormat="1" x14ac:dyDescent="0.3"/>
    <row r="66" s="60" customFormat="1" x14ac:dyDescent="0.3"/>
    <row r="67" s="60" customFormat="1" x14ac:dyDescent="0.3"/>
    <row r="68" s="60" customFormat="1" x14ac:dyDescent="0.3"/>
    <row r="69" s="60" customFormat="1" x14ac:dyDescent="0.3"/>
    <row r="70" s="60" customFormat="1" x14ac:dyDescent="0.3"/>
    <row r="71" s="60" customFormat="1" x14ac:dyDescent="0.3"/>
    <row r="72" s="60" customFormat="1" x14ac:dyDescent="0.3"/>
    <row r="73" s="60" customFormat="1" x14ac:dyDescent="0.3"/>
    <row r="74" s="60" customFormat="1" x14ac:dyDescent="0.3"/>
    <row r="75" s="60" customFormat="1" x14ac:dyDescent="0.3"/>
    <row r="76" s="60" customFormat="1" x14ac:dyDescent="0.3"/>
    <row r="77" s="60" customFormat="1" x14ac:dyDescent="0.3"/>
    <row r="78" s="60" customFormat="1" x14ac:dyDescent="0.3"/>
    <row r="79" s="60" customFormat="1" x14ac:dyDescent="0.3"/>
    <row r="80" s="60" customFormat="1" x14ac:dyDescent="0.3"/>
    <row r="81" s="60" customFormat="1" x14ac:dyDescent="0.3"/>
    <row r="82" s="60" customFormat="1" x14ac:dyDescent="0.3"/>
    <row r="83" s="60" customFormat="1" x14ac:dyDescent="0.3"/>
    <row r="84" s="60" customFormat="1" x14ac:dyDescent="0.3"/>
    <row r="85" s="60" customFormat="1" x14ac:dyDescent="0.3"/>
    <row r="86" s="60" customFormat="1" x14ac:dyDescent="0.3"/>
    <row r="87" s="60" customFormat="1" x14ac:dyDescent="0.3"/>
    <row r="88" s="60" customFormat="1" x14ac:dyDescent="0.3"/>
    <row r="89" s="60" customFormat="1" x14ac:dyDescent="0.3"/>
    <row r="90" s="60" customFormat="1" x14ac:dyDescent="0.3"/>
    <row r="91" s="60" customFormat="1" x14ac:dyDescent="0.3"/>
    <row r="92" s="60" customFormat="1" x14ac:dyDescent="0.3"/>
    <row r="93" s="60" customFormat="1" x14ac:dyDescent="0.3"/>
    <row r="94" s="60" customFormat="1" x14ac:dyDescent="0.3"/>
    <row r="95" s="60" customFormat="1" x14ac:dyDescent="0.3"/>
    <row r="96" s="60" customFormat="1" x14ac:dyDescent="0.3"/>
    <row r="97" s="60" customFormat="1" x14ac:dyDescent="0.3"/>
    <row r="98" s="60" customFormat="1" x14ac:dyDescent="0.3"/>
    <row r="99" s="60" customFormat="1" x14ac:dyDescent="0.3"/>
    <row r="100" s="60" customFormat="1" x14ac:dyDescent="0.3"/>
    <row r="101" s="60" customFormat="1" x14ac:dyDescent="0.3"/>
    <row r="102" s="60" customFormat="1" x14ac:dyDescent="0.3"/>
    <row r="103" s="60" customFormat="1" x14ac:dyDescent="0.3"/>
    <row r="104" s="60" customFormat="1" x14ac:dyDescent="0.3"/>
    <row r="105" s="60" customFormat="1" x14ac:dyDescent="0.3"/>
    <row r="106" s="60" customFormat="1" x14ac:dyDescent="0.3"/>
    <row r="107" s="60" customFormat="1" x14ac:dyDescent="0.3"/>
    <row r="108" s="60" customFormat="1" x14ac:dyDescent="0.3"/>
    <row r="109" s="60" customFormat="1" x14ac:dyDescent="0.3"/>
    <row r="110" s="60" customFormat="1" x14ac:dyDescent="0.3"/>
    <row r="111" s="60" customFormat="1" x14ac:dyDescent="0.3"/>
    <row r="112" s="60" customFormat="1" x14ac:dyDescent="0.3"/>
    <row r="113" s="60" customFormat="1" x14ac:dyDescent="0.3"/>
    <row r="114" s="60" customFormat="1" x14ac:dyDescent="0.3"/>
    <row r="115" s="60" customFormat="1" x14ac:dyDescent="0.3"/>
    <row r="116" s="60" customFormat="1" x14ac:dyDescent="0.3"/>
    <row r="117" s="60" customFormat="1" x14ac:dyDescent="0.3"/>
    <row r="118" s="60" customFormat="1" x14ac:dyDescent="0.3"/>
    <row r="119" s="60" customFormat="1" x14ac:dyDescent="0.3"/>
    <row r="120" s="60" customFormat="1" x14ac:dyDescent="0.3"/>
    <row r="121" s="60" customFormat="1" x14ac:dyDescent="0.3"/>
    <row r="122" s="60" customFormat="1" x14ac:dyDescent="0.3"/>
    <row r="123" s="60" customFormat="1" x14ac:dyDescent="0.3"/>
    <row r="124" s="60" customFormat="1" x14ac:dyDescent="0.3"/>
    <row r="125" s="60" customFormat="1" x14ac:dyDescent="0.3"/>
    <row r="126" s="60" customFormat="1" x14ac:dyDescent="0.3"/>
    <row r="127" s="60" customFormat="1" x14ac:dyDescent="0.3"/>
    <row r="128" s="60" customFormat="1" x14ac:dyDescent="0.3"/>
    <row r="129" s="60" customFormat="1" x14ac:dyDescent="0.3"/>
    <row r="130" s="60" customFormat="1" x14ac:dyDescent="0.3"/>
    <row r="131" s="60" customFormat="1" x14ac:dyDescent="0.3"/>
    <row r="132" s="60" customFormat="1" x14ac:dyDescent="0.3"/>
    <row r="133" s="60" customFormat="1" x14ac:dyDescent="0.3"/>
    <row r="134" s="60" customFormat="1" x14ac:dyDescent="0.3"/>
    <row r="135" s="60" customFormat="1" x14ac:dyDescent="0.3"/>
    <row r="136" s="60" customFormat="1" x14ac:dyDescent="0.3"/>
    <row r="137" s="60" customFormat="1" x14ac:dyDescent="0.3"/>
    <row r="138" s="60" customFormat="1" x14ac:dyDescent="0.3"/>
    <row r="139" s="60" customFormat="1" x14ac:dyDescent="0.3"/>
    <row r="140" s="60" customFormat="1" x14ac:dyDescent="0.3"/>
    <row r="141" s="60" customFormat="1" x14ac:dyDescent="0.3"/>
    <row r="142" s="60" customFormat="1" x14ac:dyDescent="0.3"/>
    <row r="143" s="60" customFormat="1" x14ac:dyDescent="0.3"/>
    <row r="144" s="60" customFormat="1" x14ac:dyDescent="0.3"/>
    <row r="145" s="60" customFormat="1" x14ac:dyDescent="0.3"/>
    <row r="146" s="60" customFormat="1" x14ac:dyDescent="0.3"/>
    <row r="147" s="60" customFormat="1" x14ac:dyDescent="0.3"/>
    <row r="148" s="60" customFormat="1" x14ac:dyDescent="0.3"/>
    <row r="149" s="60" customFormat="1" x14ac:dyDescent="0.3"/>
    <row r="150" s="60" customFormat="1" x14ac:dyDescent="0.3"/>
    <row r="151" s="60" customFormat="1" x14ac:dyDescent="0.3"/>
    <row r="152" s="60" customFormat="1" x14ac:dyDescent="0.3"/>
    <row r="153" s="60" customFormat="1" x14ac:dyDescent="0.3"/>
    <row r="154" s="60" customFormat="1" x14ac:dyDescent="0.3"/>
    <row r="155" s="60" customFormat="1" x14ac:dyDescent="0.3"/>
    <row r="156" s="60" customFormat="1" x14ac:dyDescent="0.3"/>
    <row r="157" s="60" customFormat="1" x14ac:dyDescent="0.3"/>
    <row r="158" s="60" customFormat="1" x14ac:dyDescent="0.3"/>
    <row r="159" s="60" customFormat="1" x14ac:dyDescent="0.3"/>
    <row r="160" s="60" customFormat="1" x14ac:dyDescent="0.3"/>
    <row r="161" s="60" customFormat="1" x14ac:dyDescent="0.3"/>
    <row r="162" s="60" customFormat="1" x14ac:dyDescent="0.3"/>
    <row r="163" s="60" customFormat="1" x14ac:dyDescent="0.3"/>
    <row r="164" s="60" customFormat="1" x14ac:dyDescent="0.3"/>
    <row r="165" s="60" customFormat="1" x14ac:dyDescent="0.3"/>
    <row r="166" s="60" customFormat="1" x14ac:dyDescent="0.3"/>
    <row r="167" s="60" customFormat="1" x14ac:dyDescent="0.3"/>
    <row r="168" s="60" customFormat="1" x14ac:dyDescent="0.3"/>
    <row r="169" s="60" customFormat="1" x14ac:dyDescent="0.3"/>
    <row r="170" s="60" customFormat="1" x14ac:dyDescent="0.3"/>
    <row r="171" s="60" customFormat="1" x14ac:dyDescent="0.3"/>
    <row r="172" s="60" customFormat="1" x14ac:dyDescent="0.3"/>
    <row r="173" s="60" customFormat="1" x14ac:dyDescent="0.3"/>
    <row r="174" s="60" customFormat="1" x14ac:dyDescent="0.3"/>
    <row r="175" s="60" customFormat="1" x14ac:dyDescent="0.3"/>
    <row r="176" s="60" customFormat="1" x14ac:dyDescent="0.3"/>
    <row r="177" s="60" customFormat="1" x14ac:dyDescent="0.3"/>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056DA-6165-4E2D-BF17-F9E828D23A0D}">
  <sheetPr>
    <tabColor theme="5" tint="0.59999389629810485"/>
  </sheetPr>
  <dimension ref="A1:XFD90"/>
  <sheetViews>
    <sheetView showGridLines="0" zoomScale="70" zoomScaleNormal="70" workbookViewId="0">
      <selection activeCell="C28" sqref="C28"/>
    </sheetView>
  </sheetViews>
  <sheetFormatPr defaultColWidth="8.6640625" defaultRowHeight="11.4" x14ac:dyDescent="0.2"/>
  <cols>
    <col min="1" max="1" width="59.33203125" style="1" customWidth="1"/>
    <col min="2" max="2" width="16.33203125" style="7" bestFit="1" customWidth="1"/>
    <col min="3" max="12" width="18.6640625" style="3" customWidth="1"/>
    <col min="13" max="13" width="14.6640625" style="3" bestFit="1" customWidth="1"/>
    <col min="14" max="14" width="17.33203125" style="3" customWidth="1"/>
    <col min="15" max="16" width="18" style="3" customWidth="1"/>
    <col min="17" max="18" width="16.6640625" style="3" customWidth="1"/>
    <col min="19" max="19" width="14.6640625" style="3" customWidth="1"/>
    <col min="20" max="32" width="14.6640625" style="1" customWidth="1"/>
    <col min="33" max="16384" width="8.6640625" style="1"/>
  </cols>
  <sheetData>
    <row r="1" spans="1:32" s="6" customFormat="1" ht="14.25" customHeight="1" x14ac:dyDescent="0.2">
      <c r="A1" s="8"/>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row>
    <row r="2" spans="1:32" s="5" customFormat="1" ht="28.2" customHeight="1" x14ac:dyDescent="0.3">
      <c r="A2" s="10" t="s">
        <v>92</v>
      </c>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row>
    <row r="3" spans="1:32" s="6" customFormat="1" ht="14.25" customHeight="1" x14ac:dyDescent="0.2">
      <c r="A3" s="8"/>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row>
    <row r="4" spans="1:32" s="11" customFormat="1" ht="14.25" customHeight="1" x14ac:dyDescent="0.3">
      <c r="A4" s="15"/>
      <c r="B4" s="16"/>
      <c r="C4" s="16"/>
      <c r="D4" s="16"/>
      <c r="E4" s="16"/>
      <c r="F4" s="16"/>
      <c r="G4" s="16"/>
      <c r="H4" s="16"/>
      <c r="I4" s="16"/>
      <c r="J4" s="16"/>
      <c r="K4" s="16"/>
      <c r="L4" s="16"/>
      <c r="M4" s="16"/>
      <c r="N4" s="16"/>
      <c r="O4" s="16"/>
      <c r="P4" s="16"/>
      <c r="Q4" s="16"/>
      <c r="R4" s="16"/>
      <c r="S4" s="16"/>
    </row>
    <row r="5" spans="1:32" s="11" customFormat="1" ht="23.4" x14ac:dyDescent="0.3">
      <c r="A5" s="268" t="s">
        <v>93</v>
      </c>
      <c r="B5" s="16"/>
      <c r="C5" s="16"/>
      <c r="D5" s="16"/>
      <c r="E5" s="16"/>
      <c r="F5" s="16"/>
      <c r="G5" s="16"/>
      <c r="H5" s="16"/>
      <c r="I5" s="16"/>
      <c r="J5" s="16"/>
      <c r="K5" s="16"/>
      <c r="L5" s="16"/>
      <c r="M5" s="16"/>
      <c r="N5" s="16"/>
      <c r="O5" s="16"/>
      <c r="P5" s="16"/>
      <c r="Q5" s="16"/>
      <c r="R5" s="16"/>
      <c r="S5" s="16"/>
    </row>
    <row r="6" spans="1:32" s="11" customFormat="1" ht="14.25" customHeight="1" x14ac:dyDescent="0.3">
      <c r="A6" s="15"/>
      <c r="B6" s="16"/>
      <c r="C6" s="16"/>
      <c r="D6" s="16"/>
      <c r="E6" s="16"/>
      <c r="F6" s="16"/>
      <c r="G6" s="16"/>
      <c r="H6" s="16"/>
      <c r="I6" s="16"/>
      <c r="J6" s="16"/>
      <c r="K6" s="16"/>
      <c r="L6" s="16"/>
      <c r="M6" s="16"/>
      <c r="N6" s="16"/>
      <c r="O6" s="16"/>
      <c r="P6" s="16"/>
      <c r="Q6" s="16"/>
      <c r="R6" s="16"/>
      <c r="S6" s="16"/>
    </row>
    <row r="7" spans="1:32" s="11" customFormat="1" ht="14.25" customHeight="1" x14ac:dyDescent="0.3">
      <c r="A7" s="238"/>
      <c r="B7" s="298"/>
      <c r="C7" s="18"/>
      <c r="D7" s="24" t="s">
        <v>17</v>
      </c>
      <c r="E7" s="18"/>
      <c r="F7" s="18"/>
      <c r="G7" s="18"/>
      <c r="H7" s="18"/>
      <c r="I7" s="16"/>
      <c r="J7" s="16"/>
      <c r="K7" s="16"/>
      <c r="L7" s="16"/>
      <c r="M7" s="16"/>
      <c r="N7" s="16"/>
      <c r="O7" s="16"/>
      <c r="P7" s="16"/>
      <c r="Q7" s="16"/>
      <c r="R7" s="16"/>
      <c r="S7" s="16"/>
    </row>
    <row r="8" spans="1:32" s="11" customFormat="1" ht="14.25" customHeight="1" x14ac:dyDescent="0.3">
      <c r="A8" s="299" t="s">
        <v>94</v>
      </c>
      <c r="B8" s="300">
        <v>0.02</v>
      </c>
      <c r="C8" s="18"/>
      <c r="D8" s="19" t="s">
        <v>95</v>
      </c>
      <c r="E8" s="18"/>
      <c r="F8" s="18"/>
      <c r="G8" s="18"/>
      <c r="H8" s="18"/>
      <c r="I8" s="16"/>
      <c r="J8" s="16"/>
      <c r="K8" s="16"/>
      <c r="L8" s="16"/>
      <c r="M8" s="16"/>
      <c r="N8" s="16"/>
      <c r="O8" s="16"/>
      <c r="P8" s="16"/>
      <c r="Q8" s="16"/>
      <c r="R8" s="16"/>
      <c r="S8" s="16"/>
    </row>
    <row r="9" spans="1:32" s="11" customFormat="1" ht="14.25" customHeight="1" x14ac:dyDescent="0.3">
      <c r="A9" s="299" t="s">
        <v>18</v>
      </c>
      <c r="B9" s="300">
        <v>0.05</v>
      </c>
      <c r="C9" s="18"/>
      <c r="D9" s="19" t="s">
        <v>96</v>
      </c>
      <c r="E9" s="18"/>
      <c r="F9" s="18"/>
      <c r="G9" s="18"/>
      <c r="H9" s="18"/>
      <c r="I9" s="16"/>
      <c r="J9" s="16"/>
      <c r="K9" s="16"/>
      <c r="L9" s="16"/>
      <c r="M9" s="16"/>
      <c r="N9" s="16"/>
      <c r="O9" s="16"/>
      <c r="P9" s="16"/>
      <c r="Q9" s="16"/>
      <c r="R9" s="16"/>
      <c r="S9" s="16"/>
    </row>
    <row r="10" spans="1:32" s="11" customFormat="1" ht="14.25" customHeight="1" x14ac:dyDescent="0.3">
      <c r="A10" s="299" t="s">
        <v>20</v>
      </c>
      <c r="B10" s="301">
        <v>0.11</v>
      </c>
      <c r="C10" s="18"/>
      <c r="D10" s="19" t="s">
        <v>97</v>
      </c>
      <c r="E10" s="18"/>
      <c r="F10" s="18"/>
      <c r="G10" s="18"/>
      <c r="H10" s="18"/>
      <c r="I10" s="16"/>
      <c r="J10" s="16"/>
      <c r="K10" s="16"/>
      <c r="L10" s="16"/>
      <c r="M10" s="16"/>
      <c r="N10" s="16"/>
      <c r="O10" s="16"/>
      <c r="P10" s="16"/>
      <c r="Q10" s="16"/>
      <c r="R10" s="16"/>
      <c r="S10" s="16"/>
    </row>
    <row r="11" spans="1:32" s="11" customFormat="1" ht="14.25" customHeight="1" x14ac:dyDescent="0.3">
      <c r="A11" s="299" t="s">
        <v>22</v>
      </c>
      <c r="B11" s="301">
        <f>1-B12</f>
        <v>0.58200000000000007</v>
      </c>
      <c r="C11" s="18"/>
      <c r="D11" s="19" t="s">
        <v>98</v>
      </c>
      <c r="E11" s="18"/>
      <c r="F11" s="18"/>
      <c r="G11" s="18"/>
      <c r="H11" s="18"/>
      <c r="I11" s="16"/>
      <c r="J11" s="16"/>
      <c r="K11" s="16"/>
      <c r="L11" s="16"/>
      <c r="M11" s="16"/>
      <c r="N11" s="16"/>
      <c r="O11" s="16"/>
      <c r="P11" s="16"/>
      <c r="Q11" s="16"/>
      <c r="R11" s="16"/>
      <c r="S11" s="16"/>
    </row>
    <row r="12" spans="1:32" s="11" customFormat="1" ht="14.25" customHeight="1" x14ac:dyDescent="0.3">
      <c r="A12" s="299" t="s">
        <v>24</v>
      </c>
      <c r="B12" s="301">
        <v>0.41799999999999998</v>
      </c>
      <c r="C12" s="18"/>
      <c r="D12" s="19" t="s">
        <v>98</v>
      </c>
      <c r="E12" s="18"/>
      <c r="F12" s="18"/>
      <c r="G12" s="18"/>
      <c r="H12" s="18"/>
      <c r="I12" s="16"/>
      <c r="J12" s="16"/>
      <c r="K12" s="16"/>
      <c r="L12" s="16"/>
      <c r="M12" s="16"/>
      <c r="N12" s="16"/>
      <c r="O12" s="16"/>
      <c r="P12" s="16"/>
      <c r="Q12" s="16"/>
      <c r="R12" s="16"/>
      <c r="S12" s="16"/>
    </row>
    <row r="13" spans="1:32" s="11" customFormat="1" ht="14.25" customHeight="1" x14ac:dyDescent="0.3">
      <c r="A13" s="299" t="s">
        <v>25</v>
      </c>
      <c r="B13" s="302">
        <v>0.25</v>
      </c>
      <c r="C13" s="18"/>
      <c r="D13" s="19"/>
      <c r="E13" s="18"/>
      <c r="F13" s="18"/>
      <c r="G13" s="18"/>
      <c r="H13" s="18"/>
      <c r="I13" s="16"/>
      <c r="J13" s="16"/>
      <c r="K13" s="16"/>
      <c r="L13" s="16"/>
      <c r="M13" s="16"/>
      <c r="N13" s="16"/>
      <c r="O13" s="16"/>
      <c r="P13" s="16"/>
      <c r="Q13" s="16"/>
      <c r="R13" s="16"/>
      <c r="S13" s="16"/>
    </row>
    <row r="14" spans="1:32" s="11" customFormat="1" ht="14.25" customHeight="1" x14ac:dyDescent="0.3">
      <c r="A14" s="299" t="s">
        <v>26</v>
      </c>
      <c r="B14" s="303">
        <f>(B12*B10)+((B11*B9)*(1-B13))</f>
        <v>6.7805000000000004E-2</v>
      </c>
      <c r="C14" s="18"/>
      <c r="D14" s="19" t="s">
        <v>27</v>
      </c>
      <c r="E14" s="18"/>
      <c r="F14" s="18"/>
      <c r="G14" s="18"/>
      <c r="H14" s="18"/>
      <c r="I14" s="16"/>
      <c r="J14" s="16"/>
      <c r="K14" s="16"/>
      <c r="L14" s="16"/>
      <c r="M14" s="16"/>
      <c r="N14" s="16"/>
      <c r="O14" s="16"/>
      <c r="P14" s="16"/>
      <c r="Q14" s="16"/>
      <c r="R14" s="16"/>
      <c r="S14" s="16"/>
    </row>
    <row r="15" spans="1:32" s="11" customFormat="1" ht="14.25" customHeight="1" x14ac:dyDescent="0.3">
      <c r="A15" s="304"/>
      <c r="B15" s="18"/>
      <c r="C15" s="18"/>
      <c r="D15" s="19" t="s">
        <v>28</v>
      </c>
      <c r="E15" s="18"/>
      <c r="F15" s="18"/>
      <c r="G15" s="18"/>
      <c r="H15" s="18"/>
      <c r="I15" s="16"/>
      <c r="J15" s="16"/>
      <c r="K15" s="16"/>
      <c r="L15" s="16"/>
      <c r="M15" s="16"/>
      <c r="N15" s="16"/>
      <c r="O15" s="16"/>
      <c r="P15" s="16"/>
      <c r="Q15" s="16"/>
      <c r="R15" s="16"/>
      <c r="S15" s="16"/>
    </row>
    <row r="16" spans="1:32" s="11" customFormat="1" ht="14.25" customHeight="1" x14ac:dyDescent="0.3">
      <c r="A16" s="304"/>
      <c r="B16" s="18"/>
      <c r="C16" s="18"/>
      <c r="D16" s="19" t="s">
        <v>29</v>
      </c>
      <c r="E16" s="18"/>
      <c r="F16" s="18"/>
      <c r="G16" s="18"/>
      <c r="H16" s="18"/>
      <c r="I16" s="16"/>
      <c r="J16" s="16"/>
      <c r="K16" s="16"/>
      <c r="L16" s="16"/>
      <c r="M16" s="16"/>
      <c r="N16" s="16"/>
      <c r="O16" s="16"/>
      <c r="P16" s="16"/>
      <c r="Q16" s="16"/>
      <c r="R16" s="16"/>
      <c r="S16" s="16"/>
    </row>
    <row r="17" spans="1:16384" s="11" customFormat="1" ht="14.25" customHeight="1" x14ac:dyDescent="0.3">
      <c r="A17" s="304"/>
      <c r="B17" s="18"/>
      <c r="C17" s="18"/>
      <c r="D17" s="19" t="s">
        <v>30</v>
      </c>
      <c r="E17" s="18"/>
      <c r="F17" s="18"/>
      <c r="G17" s="18"/>
      <c r="H17" s="18"/>
      <c r="I17" s="16"/>
      <c r="J17" s="16"/>
      <c r="K17" s="16"/>
      <c r="L17" s="16"/>
      <c r="M17" s="16"/>
      <c r="N17" s="16"/>
      <c r="O17" s="16"/>
      <c r="P17" s="16"/>
      <c r="Q17" s="16"/>
      <c r="R17" s="16"/>
      <c r="S17" s="16"/>
    </row>
    <row r="18" spans="1:16384" s="11" customFormat="1" ht="14.25" customHeight="1" thickBot="1" x14ac:dyDescent="0.35">
      <c r="A18" s="304"/>
      <c r="B18" s="18"/>
      <c r="C18" s="18"/>
      <c r="D18" s="19" t="s">
        <v>31</v>
      </c>
      <c r="E18" s="18"/>
      <c r="F18" s="18"/>
      <c r="G18" s="18"/>
      <c r="H18" s="271"/>
      <c r="I18" s="269"/>
      <c r="J18" s="269"/>
      <c r="K18" s="269"/>
      <c r="L18" s="269"/>
      <c r="M18" s="269"/>
      <c r="N18" s="269"/>
      <c r="O18" s="269"/>
      <c r="P18" s="269"/>
      <c r="Q18" s="269"/>
      <c r="R18" s="269"/>
      <c r="S18" s="269"/>
      <c r="T18" s="52"/>
      <c r="U18" s="52"/>
      <c r="V18" s="52"/>
      <c r="W18" s="52"/>
      <c r="X18" s="52"/>
      <c r="Y18" s="52"/>
      <c r="Z18" s="52"/>
      <c r="AA18" s="52"/>
      <c r="AB18" s="52"/>
      <c r="AC18" s="52"/>
      <c r="AD18" s="52"/>
      <c r="AE18" s="52"/>
      <c r="AF18" s="52"/>
    </row>
    <row r="19" spans="1:16384" s="11" customFormat="1" ht="14.25" customHeight="1" x14ac:dyDescent="0.3">
      <c r="B19" s="33"/>
      <c r="C19" s="31"/>
      <c r="D19" s="31"/>
      <c r="E19" s="48"/>
      <c r="F19" s="31"/>
      <c r="G19" s="31"/>
      <c r="H19" s="31"/>
      <c r="I19" s="31"/>
      <c r="J19" s="31"/>
      <c r="K19" s="31"/>
      <c r="L19" s="31"/>
      <c r="M19" s="31"/>
      <c r="N19" s="31"/>
      <c r="O19" s="31"/>
      <c r="P19" s="31"/>
      <c r="Q19" s="31"/>
      <c r="R19" s="31"/>
      <c r="S19" s="31"/>
      <c r="AH19" s="33"/>
      <c r="AI19" s="31"/>
      <c r="AJ19" s="31"/>
      <c r="AK19" s="48"/>
      <c r="AL19" s="31"/>
      <c r="AM19" s="31"/>
      <c r="AN19" s="31"/>
      <c r="AO19" s="31"/>
      <c r="AP19" s="31"/>
      <c r="AQ19" s="31"/>
      <c r="AR19" s="31"/>
      <c r="AS19" s="31"/>
      <c r="AT19" s="31"/>
      <c r="AU19" s="31"/>
      <c r="AV19" s="31"/>
      <c r="AW19" s="31"/>
      <c r="AX19" s="31"/>
      <c r="AY19" s="31"/>
      <c r="BN19" s="33"/>
      <c r="BO19" s="31"/>
      <c r="BP19" s="31"/>
      <c r="BQ19" s="48"/>
      <c r="BR19" s="31"/>
      <c r="BS19" s="31"/>
      <c r="BT19" s="31"/>
      <c r="BU19" s="31"/>
      <c r="BV19" s="31"/>
      <c r="BW19" s="31"/>
      <c r="BX19" s="31"/>
      <c r="BY19" s="31"/>
      <c r="BZ19" s="31"/>
      <c r="CA19" s="31"/>
      <c r="CB19" s="31"/>
      <c r="CC19" s="31"/>
      <c r="CD19" s="31"/>
      <c r="CE19" s="31"/>
      <c r="CT19" s="33"/>
      <c r="CU19" s="31"/>
      <c r="CV19" s="31"/>
      <c r="CW19" s="48"/>
      <c r="CX19" s="31"/>
      <c r="CY19" s="31"/>
      <c r="CZ19" s="31"/>
      <c r="DA19" s="31"/>
      <c r="DB19" s="31"/>
      <c r="DC19" s="31"/>
      <c r="DD19" s="31"/>
      <c r="DE19" s="31"/>
      <c r="DF19" s="31"/>
      <c r="DG19" s="31"/>
      <c r="DH19" s="31"/>
      <c r="DI19" s="31"/>
      <c r="DJ19" s="31"/>
      <c r="DK19" s="31"/>
      <c r="DZ19" s="33"/>
      <c r="EA19" s="31"/>
      <c r="EB19" s="31"/>
      <c r="EC19" s="48"/>
      <c r="ED19" s="31"/>
      <c r="EE19" s="31"/>
      <c r="EF19" s="31"/>
      <c r="EG19" s="31"/>
      <c r="EH19" s="31"/>
      <c r="EI19" s="31"/>
      <c r="EJ19" s="31"/>
      <c r="EK19" s="31"/>
      <c r="EL19" s="31"/>
      <c r="EM19" s="31"/>
      <c r="EN19" s="31"/>
      <c r="EO19" s="31"/>
      <c r="EP19" s="31"/>
      <c r="EQ19" s="31"/>
      <c r="FF19" s="33"/>
      <c r="FG19" s="31"/>
      <c r="FH19" s="31"/>
      <c r="FI19" s="48"/>
      <c r="FJ19" s="31"/>
      <c r="FK19" s="31"/>
      <c r="FL19" s="31"/>
      <c r="FM19" s="31"/>
      <c r="FN19" s="31"/>
      <c r="FO19" s="31"/>
      <c r="FP19" s="31"/>
      <c r="FQ19" s="31"/>
      <c r="FR19" s="31"/>
      <c r="FS19" s="31"/>
      <c r="FT19" s="31"/>
      <c r="FU19" s="31"/>
      <c r="FV19" s="31"/>
      <c r="FW19" s="31"/>
      <c r="GL19" s="33"/>
      <c r="GM19" s="31"/>
      <c r="GN19" s="31"/>
      <c r="GO19" s="48"/>
      <c r="GP19" s="31"/>
      <c r="GQ19" s="31"/>
      <c r="GR19" s="31"/>
      <c r="GS19" s="31"/>
      <c r="GT19" s="31"/>
      <c r="GU19" s="31"/>
      <c r="GV19" s="31"/>
      <c r="GW19" s="31"/>
      <c r="GX19" s="31"/>
      <c r="GY19" s="31"/>
      <c r="GZ19" s="31"/>
      <c r="HA19" s="31"/>
      <c r="HB19" s="31"/>
      <c r="HC19" s="31"/>
      <c r="HR19" s="33"/>
      <c r="HS19" s="31"/>
      <c r="HT19" s="31"/>
      <c r="HU19" s="48"/>
      <c r="HV19" s="31"/>
      <c r="HW19" s="31"/>
      <c r="HX19" s="31"/>
      <c r="HY19" s="31"/>
      <c r="HZ19" s="31"/>
      <c r="IA19" s="31"/>
      <c r="IB19" s="31"/>
      <c r="IC19" s="31"/>
      <c r="ID19" s="31"/>
      <c r="IE19" s="31"/>
      <c r="IF19" s="31"/>
      <c r="IG19" s="31"/>
      <c r="IH19" s="31"/>
      <c r="II19" s="31"/>
      <c r="IX19" s="33"/>
      <c r="IY19" s="31"/>
      <c r="IZ19" s="31"/>
      <c r="JA19" s="48"/>
      <c r="JB19" s="31"/>
      <c r="JC19" s="31"/>
      <c r="JD19" s="31"/>
      <c r="JE19" s="31"/>
      <c r="JF19" s="31"/>
      <c r="JG19" s="31"/>
      <c r="JH19" s="31"/>
      <c r="JI19" s="31"/>
      <c r="JJ19" s="31"/>
      <c r="JK19" s="31"/>
      <c r="JL19" s="31"/>
      <c r="JM19" s="31"/>
      <c r="JN19" s="31"/>
      <c r="JO19" s="31"/>
      <c r="KD19" s="33"/>
      <c r="KE19" s="31"/>
      <c r="KF19" s="31"/>
      <c r="KG19" s="48"/>
      <c r="KH19" s="31"/>
      <c r="KI19" s="31"/>
      <c r="KJ19" s="31"/>
      <c r="KK19" s="31"/>
      <c r="KL19" s="31"/>
      <c r="KM19" s="31"/>
      <c r="KN19" s="31"/>
      <c r="KO19" s="31"/>
      <c r="KP19" s="31"/>
      <c r="KQ19" s="31"/>
      <c r="KR19" s="31"/>
      <c r="KS19" s="31"/>
      <c r="KT19" s="31"/>
      <c r="KU19" s="31"/>
      <c r="LJ19" s="33"/>
      <c r="LK19" s="31"/>
      <c r="LL19" s="31"/>
      <c r="LM19" s="48"/>
      <c r="LN19" s="31"/>
      <c r="LO19" s="31"/>
      <c r="LP19" s="31"/>
      <c r="LQ19" s="31"/>
      <c r="LR19" s="31"/>
      <c r="LS19" s="31"/>
      <c r="LT19" s="31"/>
      <c r="LU19" s="31"/>
      <c r="LV19" s="31"/>
      <c r="LW19" s="31"/>
      <c r="LX19" s="31"/>
      <c r="LY19" s="31"/>
      <c r="LZ19" s="31"/>
      <c r="MA19" s="31"/>
      <c r="MP19" s="33"/>
      <c r="MQ19" s="31"/>
      <c r="MR19" s="31"/>
      <c r="MS19" s="48"/>
      <c r="MT19" s="31"/>
      <c r="MU19" s="31"/>
      <c r="MV19" s="31"/>
      <c r="MW19" s="31"/>
      <c r="MX19" s="31"/>
      <c r="MY19" s="31"/>
      <c r="MZ19" s="31"/>
      <c r="NA19" s="31"/>
      <c r="NB19" s="31"/>
      <c r="NC19" s="31"/>
      <c r="ND19" s="31"/>
      <c r="NE19" s="31"/>
      <c r="NF19" s="31"/>
      <c r="NG19" s="31"/>
      <c r="NV19" s="33"/>
      <c r="NW19" s="31"/>
      <c r="NX19" s="31"/>
      <c r="NY19" s="48"/>
      <c r="NZ19" s="31"/>
      <c r="OA19" s="31"/>
      <c r="OB19" s="31"/>
      <c r="OC19" s="31"/>
      <c r="OD19" s="31"/>
      <c r="OE19" s="31"/>
      <c r="OF19" s="31"/>
      <c r="OG19" s="31"/>
      <c r="OH19" s="31"/>
      <c r="OI19" s="31"/>
      <c r="OJ19" s="31"/>
      <c r="OK19" s="31"/>
      <c r="OL19" s="31"/>
      <c r="OM19" s="31"/>
      <c r="PB19" s="33"/>
      <c r="PC19" s="31"/>
      <c r="PD19" s="31"/>
      <c r="PE19" s="48"/>
      <c r="PF19" s="31"/>
      <c r="PG19" s="31"/>
      <c r="PH19" s="31"/>
      <c r="PI19" s="31"/>
      <c r="PJ19" s="31"/>
      <c r="PK19" s="31"/>
      <c r="PL19" s="31"/>
      <c r="PM19" s="31"/>
      <c r="PN19" s="31"/>
      <c r="PO19" s="31"/>
      <c r="PP19" s="31"/>
      <c r="PQ19" s="31"/>
      <c r="PR19" s="31"/>
      <c r="PS19" s="31"/>
      <c r="QH19" s="33"/>
      <c r="QI19" s="31"/>
      <c r="QJ19" s="31"/>
      <c r="QK19" s="48"/>
      <c r="QL19" s="31"/>
      <c r="QM19" s="31"/>
      <c r="QN19" s="31"/>
      <c r="QO19" s="31"/>
      <c r="QP19" s="31"/>
      <c r="QQ19" s="31"/>
      <c r="QR19" s="31"/>
      <c r="QS19" s="31"/>
      <c r="QT19" s="31"/>
      <c r="QU19" s="31"/>
      <c r="QV19" s="31"/>
      <c r="QW19" s="31"/>
      <c r="QX19" s="31"/>
      <c r="QY19" s="31"/>
      <c r="RN19" s="33"/>
      <c r="RO19" s="31"/>
      <c r="RP19" s="31"/>
      <c r="RQ19" s="48"/>
      <c r="RR19" s="31"/>
      <c r="RS19" s="31"/>
      <c r="RT19" s="31"/>
      <c r="RU19" s="31"/>
      <c r="RV19" s="31"/>
      <c r="RW19" s="31"/>
      <c r="RX19" s="31"/>
      <c r="RY19" s="31"/>
      <c r="RZ19" s="31"/>
      <c r="SA19" s="31"/>
      <c r="SB19" s="31"/>
      <c r="SC19" s="31"/>
      <c r="SD19" s="31"/>
      <c r="SE19" s="31"/>
      <c r="ST19" s="33"/>
      <c r="SU19" s="31"/>
      <c r="SV19" s="31"/>
      <c r="SW19" s="48"/>
      <c r="SX19" s="31"/>
      <c r="SY19" s="31"/>
      <c r="SZ19" s="31"/>
      <c r="TA19" s="31"/>
      <c r="TB19" s="31"/>
      <c r="TC19" s="31"/>
      <c r="TD19" s="31"/>
      <c r="TE19" s="31"/>
      <c r="TF19" s="31"/>
      <c r="TG19" s="31"/>
      <c r="TH19" s="31"/>
      <c r="TI19" s="31"/>
      <c r="TJ19" s="31"/>
      <c r="TK19" s="31"/>
      <c r="TZ19" s="33"/>
      <c r="UA19" s="31"/>
      <c r="UB19" s="31"/>
      <c r="UC19" s="48"/>
      <c r="UD19" s="31"/>
      <c r="UE19" s="31"/>
      <c r="UF19" s="31"/>
      <c r="UG19" s="31"/>
      <c r="UH19" s="31"/>
      <c r="UI19" s="31"/>
      <c r="UJ19" s="31"/>
      <c r="UK19" s="31"/>
      <c r="UL19" s="31"/>
      <c r="UM19" s="31"/>
      <c r="UN19" s="31"/>
      <c r="UO19" s="31"/>
      <c r="UP19" s="31"/>
      <c r="UQ19" s="31"/>
      <c r="VF19" s="33"/>
      <c r="VG19" s="31"/>
      <c r="VH19" s="31"/>
      <c r="VI19" s="48"/>
      <c r="VJ19" s="31"/>
      <c r="VK19" s="31"/>
      <c r="VL19" s="31"/>
      <c r="VM19" s="31"/>
      <c r="VN19" s="31"/>
      <c r="VO19" s="31"/>
      <c r="VP19" s="31"/>
      <c r="VQ19" s="31"/>
      <c r="VR19" s="31"/>
      <c r="VS19" s="31"/>
      <c r="VT19" s="31"/>
      <c r="VU19" s="31"/>
      <c r="VV19" s="31"/>
      <c r="VW19" s="31"/>
      <c r="WL19" s="33"/>
      <c r="WM19" s="31"/>
      <c r="WN19" s="31"/>
      <c r="WO19" s="48"/>
      <c r="WP19" s="31"/>
      <c r="WQ19" s="31"/>
      <c r="WR19" s="31"/>
      <c r="WS19" s="31"/>
      <c r="WT19" s="31"/>
      <c r="WU19" s="31"/>
      <c r="WV19" s="31"/>
      <c r="WW19" s="31"/>
      <c r="WX19" s="31"/>
      <c r="WY19" s="31"/>
      <c r="WZ19" s="31"/>
      <c r="XA19" s="31"/>
      <c r="XB19" s="31"/>
      <c r="XC19" s="31"/>
      <c r="XR19" s="33"/>
      <c r="XS19" s="31"/>
      <c r="XT19" s="31"/>
      <c r="XU19" s="48"/>
      <c r="XV19" s="31"/>
      <c r="XW19" s="31"/>
      <c r="XX19" s="31"/>
      <c r="XY19" s="31"/>
      <c r="XZ19" s="31"/>
      <c r="YA19" s="31"/>
      <c r="YB19" s="31"/>
      <c r="YC19" s="31"/>
      <c r="YD19" s="31"/>
      <c r="YE19" s="31"/>
      <c r="YF19" s="31"/>
      <c r="YG19" s="31"/>
      <c r="YH19" s="31"/>
      <c r="YI19" s="31"/>
      <c r="YX19" s="33"/>
      <c r="YY19" s="31"/>
      <c r="YZ19" s="31"/>
      <c r="ZA19" s="48"/>
      <c r="ZB19" s="31"/>
      <c r="ZC19" s="31"/>
      <c r="ZD19" s="31"/>
      <c r="ZE19" s="31"/>
      <c r="ZF19" s="31"/>
      <c r="ZG19" s="31"/>
      <c r="ZH19" s="31"/>
      <c r="ZI19" s="31"/>
      <c r="ZJ19" s="31"/>
      <c r="ZK19" s="31"/>
      <c r="ZL19" s="31"/>
      <c r="ZM19" s="31"/>
      <c r="ZN19" s="31"/>
      <c r="ZO19" s="31"/>
      <c r="AAD19" s="33"/>
      <c r="AAE19" s="31"/>
      <c r="AAF19" s="31"/>
      <c r="AAG19" s="48"/>
      <c r="AAH19" s="31"/>
      <c r="AAI19" s="31"/>
      <c r="AAJ19" s="31"/>
      <c r="AAK19" s="31"/>
      <c r="AAL19" s="31"/>
      <c r="AAM19" s="31"/>
      <c r="AAN19" s="31"/>
      <c r="AAO19" s="31"/>
      <c r="AAP19" s="31"/>
      <c r="AAQ19" s="31"/>
      <c r="AAR19" s="31"/>
      <c r="AAS19" s="31"/>
      <c r="AAT19" s="31"/>
      <c r="AAU19" s="31"/>
      <c r="ABJ19" s="33"/>
      <c r="ABK19" s="31"/>
      <c r="ABL19" s="31"/>
      <c r="ABM19" s="48"/>
      <c r="ABN19" s="31"/>
      <c r="ABO19" s="31"/>
      <c r="ABP19" s="31"/>
      <c r="ABQ19" s="31"/>
      <c r="ABR19" s="31"/>
      <c r="ABS19" s="31"/>
      <c r="ABT19" s="31"/>
      <c r="ABU19" s="31"/>
      <c r="ABV19" s="31"/>
      <c r="ABW19" s="31"/>
      <c r="ABX19" s="31"/>
      <c r="ABY19" s="31"/>
      <c r="ABZ19" s="31"/>
      <c r="ACA19" s="31"/>
      <c r="ACP19" s="33"/>
      <c r="ACQ19" s="31"/>
      <c r="ACR19" s="31"/>
      <c r="ACS19" s="48"/>
      <c r="ACT19" s="31"/>
      <c r="ACU19" s="31"/>
      <c r="ACV19" s="31"/>
      <c r="ACW19" s="31"/>
      <c r="ACX19" s="31"/>
      <c r="ACY19" s="31"/>
      <c r="ACZ19" s="31"/>
      <c r="ADA19" s="31"/>
      <c r="ADB19" s="31"/>
      <c r="ADC19" s="31"/>
      <c r="ADD19" s="31"/>
      <c r="ADE19" s="31"/>
      <c r="ADF19" s="31"/>
      <c r="ADG19" s="31"/>
      <c r="ADV19" s="33"/>
      <c r="ADW19" s="31"/>
      <c r="ADX19" s="31"/>
      <c r="ADY19" s="48"/>
      <c r="ADZ19" s="31"/>
      <c r="AEA19" s="31"/>
      <c r="AEB19" s="31"/>
      <c r="AEC19" s="31"/>
      <c r="AED19" s="31"/>
      <c r="AEE19" s="31"/>
      <c r="AEF19" s="31"/>
      <c r="AEG19" s="31"/>
      <c r="AEH19" s="31"/>
      <c r="AEI19" s="31"/>
      <c r="AEJ19" s="31"/>
      <c r="AEK19" s="31"/>
      <c r="AEL19" s="31"/>
      <c r="AEM19" s="31"/>
      <c r="AFB19" s="33"/>
      <c r="AFC19" s="31"/>
      <c r="AFD19" s="31"/>
      <c r="AFE19" s="48"/>
      <c r="AFF19" s="31"/>
      <c r="AFG19" s="31"/>
      <c r="AFH19" s="31"/>
      <c r="AFI19" s="31"/>
      <c r="AFJ19" s="31"/>
      <c r="AFK19" s="31"/>
      <c r="AFL19" s="31"/>
      <c r="AFM19" s="31"/>
      <c r="AFN19" s="31"/>
      <c r="AFO19" s="31"/>
      <c r="AFP19" s="31"/>
      <c r="AFQ19" s="31"/>
      <c r="AFR19" s="31"/>
      <c r="AFS19" s="31"/>
      <c r="AGH19" s="33"/>
      <c r="AGI19" s="31"/>
      <c r="AGJ19" s="31"/>
      <c r="AGK19" s="48"/>
      <c r="AGL19" s="31"/>
      <c r="AGM19" s="31"/>
      <c r="AGN19" s="31"/>
      <c r="AGO19" s="31"/>
      <c r="AGP19" s="31"/>
      <c r="AGQ19" s="31"/>
      <c r="AGR19" s="31"/>
      <c r="AGS19" s="31"/>
      <c r="AGT19" s="31"/>
      <c r="AGU19" s="31"/>
      <c r="AGV19" s="31"/>
      <c r="AGW19" s="31"/>
      <c r="AGX19" s="31"/>
      <c r="AGY19" s="31"/>
      <c r="AHN19" s="33"/>
      <c r="AHO19" s="31"/>
      <c r="AHP19" s="31"/>
      <c r="AHQ19" s="48"/>
      <c r="AHR19" s="31"/>
      <c r="AHS19" s="31"/>
      <c r="AHT19" s="31"/>
      <c r="AHU19" s="31"/>
      <c r="AHV19" s="31"/>
      <c r="AHW19" s="31"/>
      <c r="AHX19" s="31"/>
      <c r="AHY19" s="31"/>
      <c r="AHZ19" s="31"/>
      <c r="AIA19" s="31"/>
      <c r="AIB19" s="31"/>
      <c r="AIC19" s="31"/>
      <c r="AID19" s="31"/>
      <c r="AIE19" s="31"/>
      <c r="AIT19" s="33"/>
      <c r="AIU19" s="31"/>
      <c r="AIV19" s="31"/>
      <c r="AIW19" s="48"/>
      <c r="AIX19" s="31"/>
      <c r="AIY19" s="31"/>
      <c r="AIZ19" s="31"/>
      <c r="AJA19" s="31"/>
      <c r="AJB19" s="31"/>
      <c r="AJC19" s="31"/>
      <c r="AJD19" s="31"/>
      <c r="AJE19" s="31"/>
      <c r="AJF19" s="31"/>
      <c r="AJG19" s="31"/>
      <c r="AJH19" s="31"/>
      <c r="AJI19" s="31"/>
      <c r="AJJ19" s="31"/>
      <c r="AJK19" s="31"/>
      <c r="AJZ19" s="33"/>
      <c r="AKA19" s="31"/>
      <c r="AKB19" s="31"/>
      <c r="AKC19" s="48"/>
      <c r="AKD19" s="31"/>
      <c r="AKE19" s="31"/>
      <c r="AKF19" s="31"/>
      <c r="AKG19" s="31"/>
      <c r="AKH19" s="31"/>
      <c r="AKI19" s="31"/>
      <c r="AKJ19" s="31"/>
      <c r="AKK19" s="31"/>
      <c r="AKL19" s="31"/>
      <c r="AKM19" s="31"/>
      <c r="AKN19" s="31"/>
      <c r="AKO19" s="31"/>
      <c r="AKP19" s="31"/>
      <c r="AKQ19" s="31"/>
      <c r="ALF19" s="33"/>
      <c r="ALG19" s="31"/>
      <c r="ALH19" s="31"/>
      <c r="ALI19" s="48"/>
      <c r="ALJ19" s="31"/>
      <c r="ALK19" s="31"/>
      <c r="ALL19" s="31"/>
      <c r="ALM19" s="31"/>
      <c r="ALN19" s="31"/>
      <c r="ALO19" s="31"/>
      <c r="ALP19" s="31"/>
      <c r="ALQ19" s="31"/>
      <c r="ALR19" s="31"/>
      <c r="ALS19" s="31"/>
      <c r="ALT19" s="31"/>
      <c r="ALU19" s="31"/>
      <c r="ALV19" s="31"/>
      <c r="ALW19" s="31"/>
      <c r="AML19" s="33"/>
      <c r="AMM19" s="31"/>
      <c r="AMN19" s="31"/>
      <c r="AMO19" s="48"/>
      <c r="AMP19" s="31"/>
      <c r="AMQ19" s="31"/>
      <c r="AMR19" s="31"/>
      <c r="AMS19" s="31"/>
      <c r="AMT19" s="31"/>
      <c r="AMU19" s="31"/>
      <c r="AMV19" s="31"/>
      <c r="AMW19" s="31"/>
      <c r="AMX19" s="31"/>
      <c r="AMY19" s="31"/>
      <c r="AMZ19" s="31"/>
      <c r="ANA19" s="31"/>
      <c r="ANB19" s="31"/>
      <c r="ANC19" s="31"/>
      <c r="ANR19" s="33"/>
      <c r="ANS19" s="31"/>
      <c r="ANT19" s="31"/>
      <c r="ANU19" s="48"/>
      <c r="ANV19" s="31"/>
      <c r="ANW19" s="31"/>
      <c r="ANX19" s="31"/>
      <c r="ANY19" s="31"/>
      <c r="ANZ19" s="31"/>
      <c r="AOA19" s="31"/>
      <c r="AOB19" s="31"/>
      <c r="AOC19" s="31"/>
      <c r="AOD19" s="31"/>
      <c r="AOE19" s="31"/>
      <c r="AOF19" s="31"/>
      <c r="AOG19" s="31"/>
      <c r="AOH19" s="31"/>
      <c r="AOI19" s="31"/>
      <c r="AOX19" s="33"/>
      <c r="AOY19" s="31"/>
      <c r="AOZ19" s="31"/>
      <c r="APA19" s="48"/>
      <c r="APB19" s="31"/>
      <c r="APC19" s="31"/>
      <c r="APD19" s="31"/>
      <c r="APE19" s="31"/>
      <c r="APF19" s="31"/>
      <c r="APG19" s="31"/>
      <c r="APH19" s="31"/>
      <c r="API19" s="31"/>
      <c r="APJ19" s="31"/>
      <c r="APK19" s="31"/>
      <c r="APL19" s="31"/>
      <c r="APM19" s="31"/>
      <c r="APN19" s="31"/>
      <c r="APO19" s="31"/>
      <c r="AQD19" s="33"/>
      <c r="AQE19" s="31"/>
      <c r="AQF19" s="31"/>
      <c r="AQG19" s="48"/>
      <c r="AQH19" s="31"/>
      <c r="AQI19" s="31"/>
      <c r="AQJ19" s="31"/>
      <c r="AQK19" s="31"/>
      <c r="AQL19" s="31"/>
      <c r="AQM19" s="31"/>
      <c r="AQN19" s="31"/>
      <c r="AQO19" s="31"/>
      <c r="AQP19" s="31"/>
      <c r="AQQ19" s="31"/>
      <c r="AQR19" s="31"/>
      <c r="AQS19" s="31"/>
      <c r="AQT19" s="31"/>
      <c r="AQU19" s="31"/>
      <c r="ARJ19" s="33"/>
      <c r="ARK19" s="31"/>
      <c r="ARL19" s="31"/>
      <c r="ARM19" s="48"/>
      <c r="ARN19" s="31"/>
      <c r="ARO19" s="31"/>
      <c r="ARP19" s="31"/>
      <c r="ARQ19" s="31"/>
      <c r="ARR19" s="31"/>
      <c r="ARS19" s="31"/>
      <c r="ART19" s="31"/>
      <c r="ARU19" s="31"/>
      <c r="ARV19" s="31"/>
      <c r="ARW19" s="31"/>
      <c r="ARX19" s="31"/>
      <c r="ARY19" s="31"/>
      <c r="ARZ19" s="31"/>
      <c r="ASA19" s="31"/>
      <c r="ASP19" s="33"/>
      <c r="ASQ19" s="31"/>
      <c r="ASR19" s="31"/>
      <c r="ASS19" s="48"/>
      <c r="AST19" s="31"/>
      <c r="ASU19" s="31"/>
      <c r="ASV19" s="31"/>
      <c r="ASW19" s="31"/>
      <c r="ASX19" s="31"/>
      <c r="ASY19" s="31"/>
      <c r="ASZ19" s="31"/>
      <c r="ATA19" s="31"/>
      <c r="ATB19" s="31"/>
      <c r="ATC19" s="31"/>
      <c r="ATD19" s="31"/>
      <c r="ATE19" s="31"/>
      <c r="ATF19" s="31"/>
      <c r="ATG19" s="31"/>
      <c r="ATV19" s="33"/>
      <c r="ATW19" s="31"/>
      <c r="ATX19" s="31"/>
      <c r="ATY19" s="48"/>
      <c r="ATZ19" s="31"/>
      <c r="AUA19" s="31"/>
      <c r="AUB19" s="31"/>
      <c r="AUC19" s="31"/>
      <c r="AUD19" s="31"/>
      <c r="AUE19" s="31"/>
      <c r="AUF19" s="31"/>
      <c r="AUG19" s="31"/>
      <c r="AUH19" s="31"/>
      <c r="AUI19" s="31"/>
      <c r="AUJ19" s="31"/>
      <c r="AUK19" s="31"/>
      <c r="AUL19" s="31"/>
      <c r="AUM19" s="31"/>
      <c r="AVB19" s="33"/>
      <c r="AVC19" s="31"/>
      <c r="AVD19" s="31"/>
      <c r="AVE19" s="48"/>
      <c r="AVF19" s="31"/>
      <c r="AVG19" s="31"/>
      <c r="AVH19" s="31"/>
      <c r="AVI19" s="31"/>
      <c r="AVJ19" s="31"/>
      <c r="AVK19" s="31"/>
      <c r="AVL19" s="31"/>
      <c r="AVM19" s="31"/>
      <c r="AVN19" s="31"/>
      <c r="AVO19" s="31"/>
      <c r="AVP19" s="31"/>
      <c r="AVQ19" s="31"/>
      <c r="AVR19" s="31"/>
      <c r="AVS19" s="31"/>
      <c r="AWH19" s="33"/>
      <c r="AWI19" s="31"/>
      <c r="AWJ19" s="31"/>
      <c r="AWK19" s="48"/>
      <c r="AWL19" s="31"/>
      <c r="AWM19" s="31"/>
      <c r="AWN19" s="31"/>
      <c r="AWO19" s="31"/>
      <c r="AWP19" s="31"/>
      <c r="AWQ19" s="31"/>
      <c r="AWR19" s="31"/>
      <c r="AWS19" s="31"/>
      <c r="AWT19" s="31"/>
      <c r="AWU19" s="31"/>
      <c r="AWV19" s="31"/>
      <c r="AWW19" s="31"/>
      <c r="AWX19" s="31"/>
      <c r="AWY19" s="31"/>
      <c r="AXN19" s="33"/>
      <c r="AXO19" s="31"/>
      <c r="AXP19" s="31"/>
      <c r="AXQ19" s="48"/>
      <c r="AXR19" s="31"/>
      <c r="AXS19" s="31"/>
      <c r="AXT19" s="31"/>
      <c r="AXU19" s="31"/>
      <c r="AXV19" s="31"/>
      <c r="AXW19" s="31"/>
      <c r="AXX19" s="31"/>
      <c r="AXY19" s="31"/>
      <c r="AXZ19" s="31"/>
      <c r="AYA19" s="31"/>
      <c r="AYB19" s="31"/>
      <c r="AYC19" s="31"/>
      <c r="AYD19" s="31"/>
      <c r="AYE19" s="31"/>
      <c r="AYT19" s="33"/>
      <c r="AYU19" s="31"/>
      <c r="AYV19" s="31"/>
      <c r="AYW19" s="48"/>
      <c r="AYX19" s="31"/>
      <c r="AYY19" s="31"/>
      <c r="AYZ19" s="31"/>
      <c r="AZA19" s="31"/>
      <c r="AZB19" s="31"/>
      <c r="AZC19" s="31"/>
      <c r="AZD19" s="31"/>
      <c r="AZE19" s="31"/>
      <c r="AZF19" s="31"/>
      <c r="AZG19" s="31"/>
      <c r="AZH19" s="31"/>
      <c r="AZI19" s="31"/>
      <c r="AZJ19" s="31"/>
      <c r="AZK19" s="31"/>
      <c r="AZZ19" s="33"/>
      <c r="BAA19" s="31"/>
      <c r="BAB19" s="31"/>
      <c r="BAC19" s="48"/>
      <c r="BAD19" s="31"/>
      <c r="BAE19" s="31"/>
      <c r="BAF19" s="31"/>
      <c r="BAG19" s="31"/>
      <c r="BAH19" s="31"/>
      <c r="BAI19" s="31"/>
      <c r="BAJ19" s="31"/>
      <c r="BAK19" s="31"/>
      <c r="BAL19" s="31"/>
      <c r="BAM19" s="31"/>
      <c r="BAN19" s="31"/>
      <c r="BAO19" s="31"/>
      <c r="BAP19" s="31"/>
      <c r="BAQ19" s="31"/>
      <c r="BBF19" s="33"/>
      <c r="BBG19" s="31"/>
      <c r="BBH19" s="31"/>
      <c r="BBI19" s="48"/>
      <c r="BBJ19" s="31"/>
      <c r="BBK19" s="31"/>
      <c r="BBL19" s="31"/>
      <c r="BBM19" s="31"/>
      <c r="BBN19" s="31"/>
      <c r="BBO19" s="31"/>
      <c r="BBP19" s="31"/>
      <c r="BBQ19" s="31"/>
      <c r="BBR19" s="31"/>
      <c r="BBS19" s="31"/>
      <c r="BBT19" s="31"/>
      <c r="BBU19" s="31"/>
      <c r="BBV19" s="31"/>
      <c r="BBW19" s="31"/>
      <c r="BCL19" s="33"/>
      <c r="BCM19" s="31"/>
      <c r="BCN19" s="31"/>
      <c r="BCO19" s="48"/>
      <c r="BCP19" s="31"/>
      <c r="BCQ19" s="31"/>
      <c r="BCR19" s="31"/>
      <c r="BCS19" s="31"/>
      <c r="BCT19" s="31"/>
      <c r="BCU19" s="31"/>
      <c r="BCV19" s="31"/>
      <c r="BCW19" s="31"/>
      <c r="BCX19" s="31"/>
      <c r="BCY19" s="31"/>
      <c r="BCZ19" s="31"/>
      <c r="BDA19" s="31"/>
      <c r="BDB19" s="31"/>
      <c r="BDC19" s="31"/>
      <c r="BDR19" s="33"/>
      <c r="BDS19" s="31"/>
      <c r="BDT19" s="31"/>
      <c r="BDU19" s="48"/>
      <c r="BDV19" s="31"/>
      <c r="BDW19" s="31"/>
      <c r="BDX19" s="31"/>
      <c r="BDY19" s="31"/>
      <c r="BDZ19" s="31"/>
      <c r="BEA19" s="31"/>
      <c r="BEB19" s="31"/>
      <c r="BEC19" s="31"/>
      <c r="BED19" s="31"/>
      <c r="BEE19" s="31"/>
      <c r="BEF19" s="31"/>
      <c r="BEG19" s="31"/>
      <c r="BEH19" s="31"/>
      <c r="BEI19" s="31"/>
      <c r="BEX19" s="33"/>
      <c r="BEY19" s="31"/>
      <c r="BEZ19" s="31"/>
      <c r="BFA19" s="48"/>
      <c r="BFB19" s="31"/>
      <c r="BFC19" s="31"/>
      <c r="BFD19" s="31"/>
      <c r="BFE19" s="31"/>
      <c r="BFF19" s="31"/>
      <c r="BFG19" s="31"/>
      <c r="BFH19" s="31"/>
      <c r="BFI19" s="31"/>
      <c r="BFJ19" s="31"/>
      <c r="BFK19" s="31"/>
      <c r="BFL19" s="31"/>
      <c r="BFM19" s="31"/>
      <c r="BFN19" s="31"/>
      <c r="BFO19" s="31"/>
      <c r="BGD19" s="33"/>
      <c r="BGE19" s="31"/>
      <c r="BGF19" s="31"/>
      <c r="BGG19" s="48"/>
      <c r="BGH19" s="31"/>
      <c r="BGI19" s="31"/>
      <c r="BGJ19" s="31"/>
      <c r="BGK19" s="31"/>
      <c r="BGL19" s="31"/>
      <c r="BGM19" s="31"/>
      <c r="BGN19" s="31"/>
      <c r="BGO19" s="31"/>
      <c r="BGP19" s="31"/>
      <c r="BGQ19" s="31"/>
      <c r="BGR19" s="31"/>
      <c r="BGS19" s="31"/>
      <c r="BGT19" s="31"/>
      <c r="BGU19" s="31"/>
      <c r="BHJ19" s="33"/>
      <c r="BHK19" s="31"/>
      <c r="BHL19" s="31"/>
      <c r="BHM19" s="48"/>
      <c r="BHN19" s="31"/>
      <c r="BHO19" s="31"/>
      <c r="BHP19" s="31"/>
      <c r="BHQ19" s="31"/>
      <c r="BHR19" s="31"/>
      <c r="BHS19" s="31"/>
      <c r="BHT19" s="31"/>
      <c r="BHU19" s="31"/>
      <c r="BHV19" s="31"/>
      <c r="BHW19" s="31"/>
      <c r="BHX19" s="31"/>
      <c r="BHY19" s="31"/>
      <c r="BHZ19" s="31"/>
      <c r="BIA19" s="31"/>
      <c r="BIP19" s="33"/>
      <c r="BIQ19" s="31"/>
      <c r="BIR19" s="31"/>
      <c r="BIS19" s="48"/>
      <c r="BIT19" s="31"/>
      <c r="BIU19" s="31"/>
      <c r="BIV19" s="31"/>
      <c r="BIW19" s="31"/>
      <c r="BIX19" s="31"/>
      <c r="BIY19" s="31"/>
      <c r="BIZ19" s="31"/>
      <c r="BJA19" s="31"/>
      <c r="BJB19" s="31"/>
      <c r="BJC19" s="31"/>
      <c r="BJD19" s="31"/>
      <c r="BJE19" s="31"/>
      <c r="BJF19" s="31"/>
      <c r="BJG19" s="31"/>
      <c r="BJV19" s="33"/>
      <c r="BJW19" s="31"/>
      <c r="BJX19" s="31"/>
      <c r="BJY19" s="48"/>
      <c r="BJZ19" s="31"/>
      <c r="BKA19" s="31"/>
      <c r="BKB19" s="31"/>
      <c r="BKC19" s="31"/>
      <c r="BKD19" s="31"/>
      <c r="BKE19" s="31"/>
      <c r="BKF19" s="31"/>
      <c r="BKG19" s="31"/>
      <c r="BKH19" s="31"/>
      <c r="BKI19" s="31"/>
      <c r="BKJ19" s="31"/>
      <c r="BKK19" s="31"/>
      <c r="BKL19" s="31"/>
      <c r="BKM19" s="31"/>
      <c r="BLB19" s="33"/>
      <c r="BLC19" s="31"/>
      <c r="BLD19" s="31"/>
      <c r="BLE19" s="48"/>
      <c r="BLF19" s="31"/>
      <c r="BLG19" s="31"/>
      <c r="BLH19" s="31"/>
      <c r="BLI19" s="31"/>
      <c r="BLJ19" s="31"/>
      <c r="BLK19" s="31"/>
      <c r="BLL19" s="31"/>
      <c r="BLM19" s="31"/>
      <c r="BLN19" s="31"/>
      <c r="BLO19" s="31"/>
      <c r="BLP19" s="31"/>
      <c r="BLQ19" s="31"/>
      <c r="BLR19" s="31"/>
      <c r="BLS19" s="31"/>
      <c r="BMH19" s="33"/>
      <c r="BMI19" s="31"/>
      <c r="BMJ19" s="31"/>
      <c r="BMK19" s="48"/>
      <c r="BML19" s="31"/>
      <c r="BMM19" s="31"/>
      <c r="BMN19" s="31"/>
      <c r="BMO19" s="31"/>
      <c r="BMP19" s="31"/>
      <c r="BMQ19" s="31"/>
      <c r="BMR19" s="31"/>
      <c r="BMS19" s="31"/>
      <c r="BMT19" s="31"/>
      <c r="BMU19" s="31"/>
      <c r="BMV19" s="31"/>
      <c r="BMW19" s="31"/>
      <c r="BMX19" s="31"/>
      <c r="BMY19" s="31"/>
      <c r="BNN19" s="33"/>
      <c r="BNO19" s="31"/>
      <c r="BNP19" s="31"/>
      <c r="BNQ19" s="48"/>
      <c r="BNR19" s="31"/>
      <c r="BNS19" s="31"/>
      <c r="BNT19" s="31"/>
      <c r="BNU19" s="31"/>
      <c r="BNV19" s="31"/>
      <c r="BNW19" s="31"/>
      <c r="BNX19" s="31"/>
      <c r="BNY19" s="31"/>
      <c r="BNZ19" s="31"/>
      <c r="BOA19" s="31"/>
      <c r="BOB19" s="31"/>
      <c r="BOC19" s="31"/>
      <c r="BOD19" s="31"/>
      <c r="BOE19" s="31"/>
      <c r="BOT19" s="33"/>
      <c r="BOU19" s="31"/>
      <c r="BOV19" s="31"/>
      <c r="BOW19" s="48"/>
      <c r="BOX19" s="31"/>
      <c r="BOY19" s="31"/>
      <c r="BOZ19" s="31"/>
      <c r="BPA19" s="31"/>
      <c r="BPB19" s="31"/>
      <c r="BPC19" s="31"/>
      <c r="BPD19" s="31"/>
      <c r="BPE19" s="31"/>
      <c r="BPF19" s="31"/>
      <c r="BPG19" s="31"/>
      <c r="BPH19" s="31"/>
      <c r="BPI19" s="31"/>
      <c r="BPJ19" s="31"/>
      <c r="BPK19" s="31"/>
      <c r="BPZ19" s="33"/>
      <c r="BQA19" s="31"/>
      <c r="BQB19" s="31"/>
      <c r="BQC19" s="48"/>
      <c r="BQD19" s="31"/>
      <c r="BQE19" s="31"/>
      <c r="BQF19" s="31"/>
      <c r="BQG19" s="31"/>
      <c r="BQH19" s="31"/>
      <c r="BQI19" s="31"/>
      <c r="BQJ19" s="31"/>
      <c r="BQK19" s="31"/>
      <c r="BQL19" s="31"/>
      <c r="BQM19" s="31"/>
      <c r="BQN19" s="31"/>
      <c r="BQO19" s="31"/>
      <c r="BQP19" s="31"/>
      <c r="BQQ19" s="31"/>
      <c r="BRF19" s="33"/>
      <c r="BRG19" s="31"/>
      <c r="BRH19" s="31"/>
      <c r="BRI19" s="48"/>
      <c r="BRJ19" s="31"/>
      <c r="BRK19" s="31"/>
      <c r="BRL19" s="31"/>
      <c r="BRM19" s="31"/>
      <c r="BRN19" s="31"/>
      <c r="BRO19" s="31"/>
      <c r="BRP19" s="31"/>
      <c r="BRQ19" s="31"/>
      <c r="BRR19" s="31"/>
      <c r="BRS19" s="31"/>
      <c r="BRT19" s="31"/>
      <c r="BRU19" s="31"/>
      <c r="BRV19" s="31"/>
      <c r="BRW19" s="31"/>
      <c r="BSL19" s="33"/>
      <c r="BSM19" s="31"/>
      <c r="BSN19" s="31"/>
      <c r="BSO19" s="48"/>
      <c r="BSP19" s="31"/>
      <c r="BSQ19" s="31"/>
      <c r="BSR19" s="31"/>
      <c r="BSS19" s="31"/>
      <c r="BST19" s="31"/>
      <c r="BSU19" s="31"/>
      <c r="BSV19" s="31"/>
      <c r="BSW19" s="31"/>
      <c r="BSX19" s="31"/>
      <c r="BSY19" s="31"/>
      <c r="BSZ19" s="31"/>
      <c r="BTA19" s="31"/>
      <c r="BTB19" s="31"/>
      <c r="BTC19" s="31"/>
      <c r="BTR19" s="33"/>
      <c r="BTS19" s="31"/>
      <c r="BTT19" s="31"/>
      <c r="BTU19" s="48"/>
      <c r="BTV19" s="31"/>
      <c r="BTW19" s="31"/>
      <c r="BTX19" s="31"/>
      <c r="BTY19" s="31"/>
      <c r="BTZ19" s="31"/>
      <c r="BUA19" s="31"/>
      <c r="BUB19" s="31"/>
      <c r="BUC19" s="31"/>
      <c r="BUD19" s="31"/>
      <c r="BUE19" s="31"/>
      <c r="BUF19" s="31"/>
      <c r="BUG19" s="31"/>
      <c r="BUH19" s="31"/>
      <c r="BUI19" s="31"/>
      <c r="BUX19" s="33"/>
      <c r="BUY19" s="31"/>
      <c r="BUZ19" s="31"/>
      <c r="BVA19" s="48"/>
      <c r="BVB19" s="31"/>
      <c r="BVC19" s="31"/>
      <c r="BVD19" s="31"/>
      <c r="BVE19" s="31"/>
      <c r="BVF19" s="31"/>
      <c r="BVG19" s="31"/>
      <c r="BVH19" s="31"/>
      <c r="BVI19" s="31"/>
      <c r="BVJ19" s="31"/>
      <c r="BVK19" s="31"/>
      <c r="BVL19" s="31"/>
      <c r="BVM19" s="31"/>
      <c r="BVN19" s="31"/>
      <c r="BVO19" s="31"/>
      <c r="BWD19" s="33"/>
      <c r="BWE19" s="31"/>
      <c r="BWF19" s="31"/>
      <c r="BWG19" s="48"/>
      <c r="BWH19" s="31"/>
      <c r="BWI19" s="31"/>
      <c r="BWJ19" s="31"/>
      <c r="BWK19" s="31"/>
      <c r="BWL19" s="31"/>
      <c r="BWM19" s="31"/>
      <c r="BWN19" s="31"/>
      <c r="BWO19" s="31"/>
      <c r="BWP19" s="31"/>
      <c r="BWQ19" s="31"/>
      <c r="BWR19" s="31"/>
      <c r="BWS19" s="31"/>
      <c r="BWT19" s="31"/>
      <c r="BWU19" s="31"/>
      <c r="BXJ19" s="33"/>
      <c r="BXK19" s="31"/>
      <c r="BXL19" s="31"/>
      <c r="BXM19" s="48"/>
      <c r="BXN19" s="31"/>
      <c r="BXO19" s="31"/>
      <c r="BXP19" s="31"/>
      <c r="BXQ19" s="31"/>
      <c r="BXR19" s="31"/>
      <c r="BXS19" s="31"/>
      <c r="BXT19" s="31"/>
      <c r="BXU19" s="31"/>
      <c r="BXV19" s="31"/>
      <c r="BXW19" s="31"/>
      <c r="BXX19" s="31"/>
      <c r="BXY19" s="31"/>
      <c r="BXZ19" s="31"/>
      <c r="BYA19" s="31"/>
      <c r="BYP19" s="33"/>
      <c r="BYQ19" s="31"/>
      <c r="BYR19" s="31"/>
      <c r="BYS19" s="48"/>
      <c r="BYT19" s="31"/>
      <c r="BYU19" s="31"/>
      <c r="BYV19" s="31"/>
      <c r="BYW19" s="31"/>
      <c r="BYX19" s="31"/>
      <c r="BYY19" s="31"/>
      <c r="BYZ19" s="31"/>
      <c r="BZA19" s="31"/>
      <c r="BZB19" s="31"/>
      <c r="BZC19" s="31"/>
      <c r="BZD19" s="31"/>
      <c r="BZE19" s="31"/>
      <c r="BZF19" s="31"/>
      <c r="BZG19" s="31"/>
      <c r="BZV19" s="33"/>
      <c r="BZW19" s="31"/>
      <c r="BZX19" s="31"/>
      <c r="BZY19" s="48"/>
      <c r="BZZ19" s="31"/>
      <c r="CAA19" s="31"/>
      <c r="CAB19" s="31"/>
      <c r="CAC19" s="31"/>
      <c r="CAD19" s="31"/>
      <c r="CAE19" s="31"/>
      <c r="CAF19" s="31"/>
      <c r="CAG19" s="31"/>
      <c r="CAH19" s="31"/>
      <c r="CAI19" s="31"/>
      <c r="CAJ19" s="31"/>
      <c r="CAK19" s="31"/>
      <c r="CAL19" s="31"/>
      <c r="CAM19" s="31"/>
      <c r="CBB19" s="33"/>
      <c r="CBC19" s="31"/>
      <c r="CBD19" s="31"/>
      <c r="CBE19" s="48"/>
      <c r="CBF19" s="31"/>
      <c r="CBG19" s="31"/>
      <c r="CBH19" s="31"/>
      <c r="CBI19" s="31"/>
      <c r="CBJ19" s="31"/>
      <c r="CBK19" s="31"/>
      <c r="CBL19" s="31"/>
      <c r="CBM19" s="31"/>
      <c r="CBN19" s="31"/>
      <c r="CBO19" s="31"/>
      <c r="CBP19" s="31"/>
      <c r="CBQ19" s="31"/>
      <c r="CBR19" s="31"/>
      <c r="CBS19" s="31"/>
      <c r="CCH19" s="33"/>
      <c r="CCI19" s="31"/>
      <c r="CCJ19" s="31"/>
      <c r="CCK19" s="48"/>
      <c r="CCL19" s="31"/>
      <c r="CCM19" s="31"/>
      <c r="CCN19" s="31"/>
      <c r="CCO19" s="31"/>
      <c r="CCP19" s="31"/>
      <c r="CCQ19" s="31"/>
      <c r="CCR19" s="31"/>
      <c r="CCS19" s="31"/>
      <c r="CCT19" s="31"/>
      <c r="CCU19" s="31"/>
      <c r="CCV19" s="31"/>
      <c r="CCW19" s="31"/>
      <c r="CCX19" s="31"/>
      <c r="CCY19" s="31"/>
      <c r="CDN19" s="33"/>
      <c r="CDO19" s="31"/>
      <c r="CDP19" s="31"/>
      <c r="CDQ19" s="48"/>
      <c r="CDR19" s="31"/>
      <c r="CDS19" s="31"/>
      <c r="CDT19" s="31"/>
      <c r="CDU19" s="31"/>
      <c r="CDV19" s="31"/>
      <c r="CDW19" s="31"/>
      <c r="CDX19" s="31"/>
      <c r="CDY19" s="31"/>
      <c r="CDZ19" s="31"/>
      <c r="CEA19" s="31"/>
      <c r="CEB19" s="31"/>
      <c r="CEC19" s="31"/>
      <c r="CED19" s="31"/>
      <c r="CEE19" s="31"/>
      <c r="CET19" s="33"/>
      <c r="CEU19" s="31"/>
      <c r="CEV19" s="31"/>
      <c r="CEW19" s="48"/>
      <c r="CEX19" s="31"/>
      <c r="CEY19" s="31"/>
      <c r="CEZ19" s="31"/>
      <c r="CFA19" s="31"/>
      <c r="CFB19" s="31"/>
      <c r="CFC19" s="31"/>
      <c r="CFD19" s="31"/>
      <c r="CFE19" s="31"/>
      <c r="CFF19" s="31"/>
      <c r="CFG19" s="31"/>
      <c r="CFH19" s="31"/>
      <c r="CFI19" s="31"/>
      <c r="CFJ19" s="31"/>
      <c r="CFK19" s="31"/>
      <c r="CFZ19" s="33"/>
      <c r="CGA19" s="31"/>
      <c r="CGB19" s="31"/>
      <c r="CGC19" s="48"/>
      <c r="CGD19" s="31"/>
      <c r="CGE19" s="31"/>
      <c r="CGF19" s="31"/>
      <c r="CGG19" s="31"/>
      <c r="CGH19" s="31"/>
      <c r="CGI19" s="31"/>
      <c r="CGJ19" s="31"/>
      <c r="CGK19" s="31"/>
      <c r="CGL19" s="31"/>
      <c r="CGM19" s="31"/>
      <c r="CGN19" s="31"/>
      <c r="CGO19" s="31"/>
      <c r="CGP19" s="31"/>
      <c r="CGQ19" s="31"/>
      <c r="CHF19" s="33"/>
      <c r="CHG19" s="31"/>
      <c r="CHH19" s="31"/>
      <c r="CHI19" s="48"/>
      <c r="CHJ19" s="31"/>
      <c r="CHK19" s="31"/>
      <c r="CHL19" s="31"/>
      <c r="CHM19" s="31"/>
      <c r="CHN19" s="31"/>
      <c r="CHO19" s="31"/>
      <c r="CHP19" s="31"/>
      <c r="CHQ19" s="31"/>
      <c r="CHR19" s="31"/>
      <c r="CHS19" s="31"/>
      <c r="CHT19" s="31"/>
      <c r="CHU19" s="31"/>
      <c r="CHV19" s="31"/>
      <c r="CHW19" s="31"/>
      <c r="CIL19" s="33"/>
      <c r="CIM19" s="31"/>
      <c r="CIN19" s="31"/>
      <c r="CIO19" s="48"/>
      <c r="CIP19" s="31"/>
      <c r="CIQ19" s="31"/>
      <c r="CIR19" s="31"/>
      <c r="CIS19" s="31"/>
      <c r="CIT19" s="31"/>
      <c r="CIU19" s="31"/>
      <c r="CIV19" s="31"/>
      <c r="CIW19" s="31"/>
      <c r="CIX19" s="31"/>
      <c r="CIY19" s="31"/>
      <c r="CIZ19" s="31"/>
      <c r="CJA19" s="31"/>
      <c r="CJB19" s="31"/>
      <c r="CJC19" s="31"/>
      <c r="CJR19" s="33"/>
      <c r="CJS19" s="31"/>
      <c r="CJT19" s="31"/>
      <c r="CJU19" s="48"/>
      <c r="CJV19" s="31"/>
      <c r="CJW19" s="31"/>
      <c r="CJX19" s="31"/>
      <c r="CJY19" s="31"/>
      <c r="CJZ19" s="31"/>
      <c r="CKA19" s="31"/>
      <c r="CKB19" s="31"/>
      <c r="CKC19" s="31"/>
      <c r="CKD19" s="31"/>
      <c r="CKE19" s="31"/>
      <c r="CKF19" s="31"/>
      <c r="CKG19" s="31"/>
      <c r="CKH19" s="31"/>
      <c r="CKI19" s="31"/>
      <c r="CKX19" s="33"/>
      <c r="CKY19" s="31"/>
      <c r="CKZ19" s="31"/>
      <c r="CLA19" s="48"/>
      <c r="CLB19" s="31"/>
      <c r="CLC19" s="31"/>
      <c r="CLD19" s="31"/>
      <c r="CLE19" s="31"/>
      <c r="CLF19" s="31"/>
      <c r="CLG19" s="31"/>
      <c r="CLH19" s="31"/>
      <c r="CLI19" s="31"/>
      <c r="CLJ19" s="31"/>
      <c r="CLK19" s="31"/>
      <c r="CLL19" s="31"/>
      <c r="CLM19" s="31"/>
      <c r="CLN19" s="31"/>
      <c r="CLO19" s="31"/>
      <c r="CMD19" s="33"/>
      <c r="CME19" s="31"/>
      <c r="CMF19" s="31"/>
      <c r="CMG19" s="48"/>
      <c r="CMH19" s="31"/>
      <c r="CMI19" s="31"/>
      <c r="CMJ19" s="31"/>
      <c r="CMK19" s="31"/>
      <c r="CML19" s="31"/>
      <c r="CMM19" s="31"/>
      <c r="CMN19" s="31"/>
      <c r="CMO19" s="31"/>
      <c r="CMP19" s="31"/>
      <c r="CMQ19" s="31"/>
      <c r="CMR19" s="31"/>
      <c r="CMS19" s="31"/>
      <c r="CMT19" s="31"/>
      <c r="CMU19" s="31"/>
      <c r="CNJ19" s="33"/>
      <c r="CNK19" s="31"/>
      <c r="CNL19" s="31"/>
      <c r="CNM19" s="48"/>
      <c r="CNN19" s="31"/>
      <c r="CNO19" s="31"/>
      <c r="CNP19" s="31"/>
      <c r="CNQ19" s="31"/>
      <c r="CNR19" s="31"/>
      <c r="CNS19" s="31"/>
      <c r="CNT19" s="31"/>
      <c r="CNU19" s="31"/>
      <c r="CNV19" s="31"/>
      <c r="CNW19" s="31"/>
      <c r="CNX19" s="31"/>
      <c r="CNY19" s="31"/>
      <c r="CNZ19" s="31"/>
      <c r="COA19" s="31"/>
      <c r="COP19" s="33"/>
      <c r="COQ19" s="31"/>
      <c r="COR19" s="31"/>
      <c r="COS19" s="48"/>
      <c r="COT19" s="31"/>
      <c r="COU19" s="31"/>
      <c r="COV19" s="31"/>
      <c r="COW19" s="31"/>
      <c r="COX19" s="31"/>
      <c r="COY19" s="31"/>
      <c r="COZ19" s="31"/>
      <c r="CPA19" s="31"/>
      <c r="CPB19" s="31"/>
      <c r="CPC19" s="31"/>
      <c r="CPD19" s="31"/>
      <c r="CPE19" s="31"/>
      <c r="CPF19" s="31"/>
      <c r="CPG19" s="31"/>
      <c r="CPV19" s="33"/>
      <c r="CPW19" s="31"/>
      <c r="CPX19" s="31"/>
      <c r="CPY19" s="48"/>
      <c r="CPZ19" s="31"/>
      <c r="CQA19" s="31"/>
      <c r="CQB19" s="31"/>
      <c r="CQC19" s="31"/>
      <c r="CQD19" s="31"/>
      <c r="CQE19" s="31"/>
      <c r="CQF19" s="31"/>
      <c r="CQG19" s="31"/>
      <c r="CQH19" s="31"/>
      <c r="CQI19" s="31"/>
      <c r="CQJ19" s="31"/>
      <c r="CQK19" s="31"/>
      <c r="CQL19" s="31"/>
      <c r="CQM19" s="31"/>
      <c r="CRB19" s="33"/>
      <c r="CRC19" s="31"/>
      <c r="CRD19" s="31"/>
      <c r="CRE19" s="48"/>
      <c r="CRF19" s="31"/>
      <c r="CRG19" s="31"/>
      <c r="CRH19" s="31"/>
      <c r="CRI19" s="31"/>
      <c r="CRJ19" s="31"/>
      <c r="CRK19" s="31"/>
      <c r="CRL19" s="31"/>
      <c r="CRM19" s="31"/>
      <c r="CRN19" s="31"/>
      <c r="CRO19" s="31"/>
      <c r="CRP19" s="31"/>
      <c r="CRQ19" s="31"/>
      <c r="CRR19" s="31"/>
      <c r="CRS19" s="31"/>
      <c r="CSH19" s="33"/>
      <c r="CSI19" s="31"/>
      <c r="CSJ19" s="31"/>
      <c r="CSK19" s="48"/>
      <c r="CSL19" s="31"/>
      <c r="CSM19" s="31"/>
      <c r="CSN19" s="31"/>
      <c r="CSO19" s="31"/>
      <c r="CSP19" s="31"/>
      <c r="CSQ19" s="31"/>
      <c r="CSR19" s="31"/>
      <c r="CSS19" s="31"/>
      <c r="CST19" s="31"/>
      <c r="CSU19" s="31"/>
      <c r="CSV19" s="31"/>
      <c r="CSW19" s="31"/>
      <c r="CSX19" s="31"/>
      <c r="CSY19" s="31"/>
      <c r="CTN19" s="33"/>
      <c r="CTO19" s="31"/>
      <c r="CTP19" s="31"/>
      <c r="CTQ19" s="48"/>
      <c r="CTR19" s="31"/>
      <c r="CTS19" s="31"/>
      <c r="CTT19" s="31"/>
      <c r="CTU19" s="31"/>
      <c r="CTV19" s="31"/>
      <c r="CTW19" s="31"/>
      <c r="CTX19" s="31"/>
      <c r="CTY19" s="31"/>
      <c r="CTZ19" s="31"/>
      <c r="CUA19" s="31"/>
      <c r="CUB19" s="31"/>
      <c r="CUC19" s="31"/>
      <c r="CUD19" s="31"/>
      <c r="CUE19" s="31"/>
      <c r="CUT19" s="33"/>
      <c r="CUU19" s="31"/>
      <c r="CUV19" s="31"/>
      <c r="CUW19" s="48"/>
      <c r="CUX19" s="31"/>
      <c r="CUY19" s="31"/>
      <c r="CUZ19" s="31"/>
      <c r="CVA19" s="31"/>
      <c r="CVB19" s="31"/>
      <c r="CVC19" s="31"/>
      <c r="CVD19" s="31"/>
      <c r="CVE19" s="31"/>
      <c r="CVF19" s="31"/>
      <c r="CVG19" s="31"/>
      <c r="CVH19" s="31"/>
      <c r="CVI19" s="31"/>
      <c r="CVJ19" s="31"/>
      <c r="CVK19" s="31"/>
      <c r="CVZ19" s="33"/>
      <c r="CWA19" s="31"/>
      <c r="CWB19" s="31"/>
      <c r="CWC19" s="48"/>
      <c r="CWD19" s="31"/>
      <c r="CWE19" s="31"/>
      <c r="CWF19" s="31"/>
      <c r="CWG19" s="31"/>
      <c r="CWH19" s="31"/>
      <c r="CWI19" s="31"/>
      <c r="CWJ19" s="31"/>
      <c r="CWK19" s="31"/>
      <c r="CWL19" s="31"/>
      <c r="CWM19" s="31"/>
      <c r="CWN19" s="31"/>
      <c r="CWO19" s="31"/>
      <c r="CWP19" s="31"/>
      <c r="CWQ19" s="31"/>
      <c r="CXF19" s="33"/>
      <c r="CXG19" s="31"/>
      <c r="CXH19" s="31"/>
      <c r="CXI19" s="48"/>
      <c r="CXJ19" s="31"/>
      <c r="CXK19" s="31"/>
      <c r="CXL19" s="31"/>
      <c r="CXM19" s="31"/>
      <c r="CXN19" s="31"/>
      <c r="CXO19" s="31"/>
      <c r="CXP19" s="31"/>
      <c r="CXQ19" s="31"/>
      <c r="CXR19" s="31"/>
      <c r="CXS19" s="31"/>
      <c r="CXT19" s="31"/>
      <c r="CXU19" s="31"/>
      <c r="CXV19" s="31"/>
      <c r="CXW19" s="31"/>
      <c r="CYL19" s="33"/>
      <c r="CYM19" s="31"/>
      <c r="CYN19" s="31"/>
      <c r="CYO19" s="48"/>
      <c r="CYP19" s="31"/>
      <c r="CYQ19" s="31"/>
      <c r="CYR19" s="31"/>
      <c r="CYS19" s="31"/>
      <c r="CYT19" s="31"/>
      <c r="CYU19" s="31"/>
      <c r="CYV19" s="31"/>
      <c r="CYW19" s="31"/>
      <c r="CYX19" s="31"/>
      <c r="CYY19" s="31"/>
      <c r="CYZ19" s="31"/>
      <c r="CZA19" s="31"/>
      <c r="CZB19" s="31"/>
      <c r="CZC19" s="31"/>
      <c r="CZR19" s="33"/>
      <c r="CZS19" s="31"/>
      <c r="CZT19" s="31"/>
      <c r="CZU19" s="48"/>
      <c r="CZV19" s="31"/>
      <c r="CZW19" s="31"/>
      <c r="CZX19" s="31"/>
      <c r="CZY19" s="31"/>
      <c r="CZZ19" s="31"/>
      <c r="DAA19" s="31"/>
      <c r="DAB19" s="31"/>
      <c r="DAC19" s="31"/>
      <c r="DAD19" s="31"/>
      <c r="DAE19" s="31"/>
      <c r="DAF19" s="31"/>
      <c r="DAG19" s="31"/>
      <c r="DAH19" s="31"/>
      <c r="DAI19" s="31"/>
      <c r="DAX19" s="33"/>
      <c r="DAY19" s="31"/>
      <c r="DAZ19" s="31"/>
      <c r="DBA19" s="48"/>
      <c r="DBB19" s="31"/>
      <c r="DBC19" s="31"/>
      <c r="DBD19" s="31"/>
      <c r="DBE19" s="31"/>
      <c r="DBF19" s="31"/>
      <c r="DBG19" s="31"/>
      <c r="DBH19" s="31"/>
      <c r="DBI19" s="31"/>
      <c r="DBJ19" s="31"/>
      <c r="DBK19" s="31"/>
      <c r="DBL19" s="31"/>
      <c r="DBM19" s="31"/>
      <c r="DBN19" s="31"/>
      <c r="DBO19" s="31"/>
      <c r="DCD19" s="33"/>
      <c r="DCE19" s="31"/>
      <c r="DCF19" s="31"/>
      <c r="DCG19" s="48"/>
      <c r="DCH19" s="31"/>
      <c r="DCI19" s="31"/>
      <c r="DCJ19" s="31"/>
      <c r="DCK19" s="31"/>
      <c r="DCL19" s="31"/>
      <c r="DCM19" s="31"/>
      <c r="DCN19" s="31"/>
      <c r="DCO19" s="31"/>
      <c r="DCP19" s="31"/>
      <c r="DCQ19" s="31"/>
      <c r="DCR19" s="31"/>
      <c r="DCS19" s="31"/>
      <c r="DCT19" s="31"/>
      <c r="DCU19" s="31"/>
      <c r="DDJ19" s="33"/>
      <c r="DDK19" s="31"/>
      <c r="DDL19" s="31"/>
      <c r="DDM19" s="48"/>
      <c r="DDN19" s="31"/>
      <c r="DDO19" s="31"/>
      <c r="DDP19" s="31"/>
      <c r="DDQ19" s="31"/>
      <c r="DDR19" s="31"/>
      <c r="DDS19" s="31"/>
      <c r="DDT19" s="31"/>
      <c r="DDU19" s="31"/>
      <c r="DDV19" s="31"/>
      <c r="DDW19" s="31"/>
      <c r="DDX19" s="31"/>
      <c r="DDY19" s="31"/>
      <c r="DDZ19" s="31"/>
      <c r="DEA19" s="31"/>
      <c r="DEP19" s="33"/>
      <c r="DEQ19" s="31"/>
      <c r="DER19" s="31"/>
      <c r="DES19" s="48"/>
      <c r="DET19" s="31"/>
      <c r="DEU19" s="31"/>
      <c r="DEV19" s="31"/>
      <c r="DEW19" s="31"/>
      <c r="DEX19" s="31"/>
      <c r="DEY19" s="31"/>
      <c r="DEZ19" s="31"/>
      <c r="DFA19" s="31"/>
      <c r="DFB19" s="31"/>
      <c r="DFC19" s="31"/>
      <c r="DFD19" s="31"/>
      <c r="DFE19" s="31"/>
      <c r="DFF19" s="31"/>
      <c r="DFG19" s="31"/>
      <c r="DFV19" s="33"/>
      <c r="DFW19" s="31"/>
      <c r="DFX19" s="31"/>
      <c r="DFY19" s="48"/>
      <c r="DFZ19" s="31"/>
      <c r="DGA19" s="31"/>
      <c r="DGB19" s="31"/>
      <c r="DGC19" s="31"/>
      <c r="DGD19" s="31"/>
      <c r="DGE19" s="31"/>
      <c r="DGF19" s="31"/>
      <c r="DGG19" s="31"/>
      <c r="DGH19" s="31"/>
      <c r="DGI19" s="31"/>
      <c r="DGJ19" s="31"/>
      <c r="DGK19" s="31"/>
      <c r="DGL19" s="31"/>
      <c r="DGM19" s="31"/>
      <c r="DHB19" s="33"/>
      <c r="DHC19" s="31"/>
      <c r="DHD19" s="31"/>
      <c r="DHE19" s="48"/>
      <c r="DHF19" s="31"/>
      <c r="DHG19" s="31"/>
      <c r="DHH19" s="31"/>
      <c r="DHI19" s="31"/>
      <c r="DHJ19" s="31"/>
      <c r="DHK19" s="31"/>
      <c r="DHL19" s="31"/>
      <c r="DHM19" s="31"/>
      <c r="DHN19" s="31"/>
      <c r="DHO19" s="31"/>
      <c r="DHP19" s="31"/>
      <c r="DHQ19" s="31"/>
      <c r="DHR19" s="31"/>
      <c r="DHS19" s="31"/>
      <c r="DIH19" s="33"/>
      <c r="DII19" s="31"/>
      <c r="DIJ19" s="31"/>
      <c r="DIK19" s="48"/>
      <c r="DIL19" s="31"/>
      <c r="DIM19" s="31"/>
      <c r="DIN19" s="31"/>
      <c r="DIO19" s="31"/>
      <c r="DIP19" s="31"/>
      <c r="DIQ19" s="31"/>
      <c r="DIR19" s="31"/>
      <c r="DIS19" s="31"/>
      <c r="DIT19" s="31"/>
      <c r="DIU19" s="31"/>
      <c r="DIV19" s="31"/>
      <c r="DIW19" s="31"/>
      <c r="DIX19" s="31"/>
      <c r="DIY19" s="31"/>
      <c r="DJN19" s="33"/>
      <c r="DJO19" s="31"/>
      <c r="DJP19" s="31"/>
      <c r="DJQ19" s="48"/>
      <c r="DJR19" s="31"/>
      <c r="DJS19" s="31"/>
      <c r="DJT19" s="31"/>
      <c r="DJU19" s="31"/>
      <c r="DJV19" s="31"/>
      <c r="DJW19" s="31"/>
      <c r="DJX19" s="31"/>
      <c r="DJY19" s="31"/>
      <c r="DJZ19" s="31"/>
      <c r="DKA19" s="31"/>
      <c r="DKB19" s="31"/>
      <c r="DKC19" s="31"/>
      <c r="DKD19" s="31"/>
      <c r="DKE19" s="31"/>
      <c r="DKT19" s="33"/>
      <c r="DKU19" s="31"/>
      <c r="DKV19" s="31"/>
      <c r="DKW19" s="48"/>
      <c r="DKX19" s="31"/>
      <c r="DKY19" s="31"/>
      <c r="DKZ19" s="31"/>
      <c r="DLA19" s="31"/>
      <c r="DLB19" s="31"/>
      <c r="DLC19" s="31"/>
      <c r="DLD19" s="31"/>
      <c r="DLE19" s="31"/>
      <c r="DLF19" s="31"/>
      <c r="DLG19" s="31"/>
      <c r="DLH19" s="31"/>
      <c r="DLI19" s="31"/>
      <c r="DLJ19" s="31"/>
      <c r="DLK19" s="31"/>
      <c r="DLZ19" s="33"/>
      <c r="DMA19" s="31"/>
      <c r="DMB19" s="31"/>
      <c r="DMC19" s="48"/>
      <c r="DMD19" s="31"/>
      <c r="DME19" s="31"/>
      <c r="DMF19" s="31"/>
      <c r="DMG19" s="31"/>
      <c r="DMH19" s="31"/>
      <c r="DMI19" s="31"/>
      <c r="DMJ19" s="31"/>
      <c r="DMK19" s="31"/>
      <c r="DML19" s="31"/>
      <c r="DMM19" s="31"/>
      <c r="DMN19" s="31"/>
      <c r="DMO19" s="31"/>
      <c r="DMP19" s="31"/>
      <c r="DMQ19" s="31"/>
      <c r="DNF19" s="33"/>
      <c r="DNG19" s="31"/>
      <c r="DNH19" s="31"/>
      <c r="DNI19" s="48"/>
      <c r="DNJ19" s="31"/>
      <c r="DNK19" s="31"/>
      <c r="DNL19" s="31"/>
      <c r="DNM19" s="31"/>
      <c r="DNN19" s="31"/>
      <c r="DNO19" s="31"/>
      <c r="DNP19" s="31"/>
      <c r="DNQ19" s="31"/>
      <c r="DNR19" s="31"/>
      <c r="DNS19" s="31"/>
      <c r="DNT19" s="31"/>
      <c r="DNU19" s="31"/>
      <c r="DNV19" s="31"/>
      <c r="DNW19" s="31"/>
      <c r="DOL19" s="33"/>
      <c r="DOM19" s="31"/>
      <c r="DON19" s="31"/>
      <c r="DOO19" s="48"/>
      <c r="DOP19" s="31"/>
      <c r="DOQ19" s="31"/>
      <c r="DOR19" s="31"/>
      <c r="DOS19" s="31"/>
      <c r="DOT19" s="31"/>
      <c r="DOU19" s="31"/>
      <c r="DOV19" s="31"/>
      <c r="DOW19" s="31"/>
      <c r="DOX19" s="31"/>
      <c r="DOY19" s="31"/>
      <c r="DOZ19" s="31"/>
      <c r="DPA19" s="31"/>
      <c r="DPB19" s="31"/>
      <c r="DPC19" s="31"/>
      <c r="DPR19" s="33"/>
      <c r="DPS19" s="31"/>
      <c r="DPT19" s="31"/>
      <c r="DPU19" s="48"/>
      <c r="DPV19" s="31"/>
      <c r="DPW19" s="31"/>
      <c r="DPX19" s="31"/>
      <c r="DPY19" s="31"/>
      <c r="DPZ19" s="31"/>
      <c r="DQA19" s="31"/>
      <c r="DQB19" s="31"/>
      <c r="DQC19" s="31"/>
      <c r="DQD19" s="31"/>
      <c r="DQE19" s="31"/>
      <c r="DQF19" s="31"/>
      <c r="DQG19" s="31"/>
      <c r="DQH19" s="31"/>
      <c r="DQI19" s="31"/>
      <c r="DQX19" s="33"/>
      <c r="DQY19" s="31"/>
      <c r="DQZ19" s="31"/>
      <c r="DRA19" s="48"/>
      <c r="DRB19" s="31"/>
      <c r="DRC19" s="31"/>
      <c r="DRD19" s="31"/>
      <c r="DRE19" s="31"/>
      <c r="DRF19" s="31"/>
      <c r="DRG19" s="31"/>
      <c r="DRH19" s="31"/>
      <c r="DRI19" s="31"/>
      <c r="DRJ19" s="31"/>
      <c r="DRK19" s="31"/>
      <c r="DRL19" s="31"/>
      <c r="DRM19" s="31"/>
      <c r="DRN19" s="31"/>
      <c r="DRO19" s="31"/>
      <c r="DSD19" s="33"/>
      <c r="DSE19" s="31"/>
      <c r="DSF19" s="31"/>
      <c r="DSG19" s="48"/>
      <c r="DSH19" s="31"/>
      <c r="DSI19" s="31"/>
      <c r="DSJ19" s="31"/>
      <c r="DSK19" s="31"/>
      <c r="DSL19" s="31"/>
      <c r="DSM19" s="31"/>
      <c r="DSN19" s="31"/>
      <c r="DSO19" s="31"/>
      <c r="DSP19" s="31"/>
      <c r="DSQ19" s="31"/>
      <c r="DSR19" s="31"/>
      <c r="DSS19" s="31"/>
      <c r="DST19" s="31"/>
      <c r="DSU19" s="31"/>
      <c r="DTJ19" s="33"/>
      <c r="DTK19" s="31"/>
      <c r="DTL19" s="31"/>
      <c r="DTM19" s="48"/>
      <c r="DTN19" s="31"/>
      <c r="DTO19" s="31"/>
      <c r="DTP19" s="31"/>
      <c r="DTQ19" s="31"/>
      <c r="DTR19" s="31"/>
      <c r="DTS19" s="31"/>
      <c r="DTT19" s="31"/>
      <c r="DTU19" s="31"/>
      <c r="DTV19" s="31"/>
      <c r="DTW19" s="31"/>
      <c r="DTX19" s="31"/>
      <c r="DTY19" s="31"/>
      <c r="DTZ19" s="31"/>
      <c r="DUA19" s="31"/>
      <c r="DUP19" s="33"/>
      <c r="DUQ19" s="31"/>
      <c r="DUR19" s="31"/>
      <c r="DUS19" s="48"/>
      <c r="DUT19" s="31"/>
      <c r="DUU19" s="31"/>
      <c r="DUV19" s="31"/>
      <c r="DUW19" s="31"/>
      <c r="DUX19" s="31"/>
      <c r="DUY19" s="31"/>
      <c r="DUZ19" s="31"/>
      <c r="DVA19" s="31"/>
      <c r="DVB19" s="31"/>
      <c r="DVC19" s="31"/>
      <c r="DVD19" s="31"/>
      <c r="DVE19" s="31"/>
      <c r="DVF19" s="31"/>
      <c r="DVG19" s="31"/>
      <c r="DVV19" s="33"/>
      <c r="DVW19" s="31"/>
      <c r="DVX19" s="31"/>
      <c r="DVY19" s="48"/>
      <c r="DVZ19" s="31"/>
      <c r="DWA19" s="31"/>
      <c r="DWB19" s="31"/>
      <c r="DWC19" s="31"/>
      <c r="DWD19" s="31"/>
      <c r="DWE19" s="31"/>
      <c r="DWF19" s="31"/>
      <c r="DWG19" s="31"/>
      <c r="DWH19" s="31"/>
      <c r="DWI19" s="31"/>
      <c r="DWJ19" s="31"/>
      <c r="DWK19" s="31"/>
      <c r="DWL19" s="31"/>
      <c r="DWM19" s="31"/>
      <c r="DXB19" s="33"/>
      <c r="DXC19" s="31"/>
      <c r="DXD19" s="31"/>
      <c r="DXE19" s="48"/>
      <c r="DXF19" s="31"/>
      <c r="DXG19" s="31"/>
      <c r="DXH19" s="31"/>
      <c r="DXI19" s="31"/>
      <c r="DXJ19" s="31"/>
      <c r="DXK19" s="31"/>
      <c r="DXL19" s="31"/>
      <c r="DXM19" s="31"/>
      <c r="DXN19" s="31"/>
      <c r="DXO19" s="31"/>
      <c r="DXP19" s="31"/>
      <c r="DXQ19" s="31"/>
      <c r="DXR19" s="31"/>
      <c r="DXS19" s="31"/>
      <c r="DYH19" s="33"/>
      <c r="DYI19" s="31"/>
      <c r="DYJ19" s="31"/>
      <c r="DYK19" s="48"/>
      <c r="DYL19" s="31"/>
      <c r="DYM19" s="31"/>
      <c r="DYN19" s="31"/>
      <c r="DYO19" s="31"/>
      <c r="DYP19" s="31"/>
      <c r="DYQ19" s="31"/>
      <c r="DYR19" s="31"/>
      <c r="DYS19" s="31"/>
      <c r="DYT19" s="31"/>
      <c r="DYU19" s="31"/>
      <c r="DYV19" s="31"/>
      <c r="DYW19" s="31"/>
      <c r="DYX19" s="31"/>
      <c r="DYY19" s="31"/>
      <c r="DZN19" s="33"/>
      <c r="DZO19" s="31"/>
      <c r="DZP19" s="31"/>
      <c r="DZQ19" s="48"/>
      <c r="DZR19" s="31"/>
      <c r="DZS19" s="31"/>
      <c r="DZT19" s="31"/>
      <c r="DZU19" s="31"/>
      <c r="DZV19" s="31"/>
      <c r="DZW19" s="31"/>
      <c r="DZX19" s="31"/>
      <c r="DZY19" s="31"/>
      <c r="DZZ19" s="31"/>
      <c r="EAA19" s="31"/>
      <c r="EAB19" s="31"/>
      <c r="EAC19" s="31"/>
      <c r="EAD19" s="31"/>
      <c r="EAE19" s="31"/>
      <c r="EAT19" s="33"/>
      <c r="EAU19" s="31"/>
      <c r="EAV19" s="31"/>
      <c r="EAW19" s="48"/>
      <c r="EAX19" s="31"/>
      <c r="EAY19" s="31"/>
      <c r="EAZ19" s="31"/>
      <c r="EBA19" s="31"/>
      <c r="EBB19" s="31"/>
      <c r="EBC19" s="31"/>
      <c r="EBD19" s="31"/>
      <c r="EBE19" s="31"/>
      <c r="EBF19" s="31"/>
      <c r="EBG19" s="31"/>
      <c r="EBH19" s="31"/>
      <c r="EBI19" s="31"/>
      <c r="EBJ19" s="31"/>
      <c r="EBK19" s="31"/>
      <c r="EBZ19" s="33"/>
      <c r="ECA19" s="31"/>
      <c r="ECB19" s="31"/>
      <c r="ECC19" s="48"/>
      <c r="ECD19" s="31"/>
      <c r="ECE19" s="31"/>
      <c r="ECF19" s="31"/>
      <c r="ECG19" s="31"/>
      <c r="ECH19" s="31"/>
      <c r="ECI19" s="31"/>
      <c r="ECJ19" s="31"/>
      <c r="ECK19" s="31"/>
      <c r="ECL19" s="31"/>
      <c r="ECM19" s="31"/>
      <c r="ECN19" s="31"/>
      <c r="ECO19" s="31"/>
      <c r="ECP19" s="31"/>
      <c r="ECQ19" s="31"/>
      <c r="EDF19" s="33"/>
      <c r="EDG19" s="31"/>
      <c r="EDH19" s="31"/>
      <c r="EDI19" s="48"/>
      <c r="EDJ19" s="31"/>
      <c r="EDK19" s="31"/>
      <c r="EDL19" s="31"/>
      <c r="EDM19" s="31"/>
      <c r="EDN19" s="31"/>
      <c r="EDO19" s="31"/>
      <c r="EDP19" s="31"/>
      <c r="EDQ19" s="31"/>
      <c r="EDR19" s="31"/>
      <c r="EDS19" s="31"/>
      <c r="EDT19" s="31"/>
      <c r="EDU19" s="31"/>
      <c r="EDV19" s="31"/>
      <c r="EDW19" s="31"/>
      <c r="EEL19" s="33"/>
      <c r="EEM19" s="31"/>
      <c r="EEN19" s="31"/>
      <c r="EEO19" s="48"/>
      <c r="EEP19" s="31"/>
      <c r="EEQ19" s="31"/>
      <c r="EER19" s="31"/>
      <c r="EES19" s="31"/>
      <c r="EET19" s="31"/>
      <c r="EEU19" s="31"/>
      <c r="EEV19" s="31"/>
      <c r="EEW19" s="31"/>
      <c r="EEX19" s="31"/>
      <c r="EEY19" s="31"/>
      <c r="EEZ19" s="31"/>
      <c r="EFA19" s="31"/>
      <c r="EFB19" s="31"/>
      <c r="EFC19" s="31"/>
      <c r="EFR19" s="33"/>
      <c r="EFS19" s="31"/>
      <c r="EFT19" s="31"/>
      <c r="EFU19" s="48"/>
      <c r="EFV19" s="31"/>
      <c r="EFW19" s="31"/>
      <c r="EFX19" s="31"/>
      <c r="EFY19" s="31"/>
      <c r="EFZ19" s="31"/>
      <c r="EGA19" s="31"/>
      <c r="EGB19" s="31"/>
      <c r="EGC19" s="31"/>
      <c r="EGD19" s="31"/>
      <c r="EGE19" s="31"/>
      <c r="EGF19" s="31"/>
      <c r="EGG19" s="31"/>
      <c r="EGH19" s="31"/>
      <c r="EGI19" s="31"/>
      <c r="EGX19" s="33"/>
      <c r="EGY19" s="31"/>
      <c r="EGZ19" s="31"/>
      <c r="EHA19" s="48"/>
      <c r="EHB19" s="31"/>
      <c r="EHC19" s="31"/>
      <c r="EHD19" s="31"/>
      <c r="EHE19" s="31"/>
      <c r="EHF19" s="31"/>
      <c r="EHG19" s="31"/>
      <c r="EHH19" s="31"/>
      <c r="EHI19" s="31"/>
      <c r="EHJ19" s="31"/>
      <c r="EHK19" s="31"/>
      <c r="EHL19" s="31"/>
      <c r="EHM19" s="31"/>
      <c r="EHN19" s="31"/>
      <c r="EHO19" s="31"/>
      <c r="EID19" s="33"/>
      <c r="EIE19" s="31"/>
      <c r="EIF19" s="31"/>
      <c r="EIG19" s="48"/>
      <c r="EIH19" s="31"/>
      <c r="EII19" s="31"/>
      <c r="EIJ19" s="31"/>
      <c r="EIK19" s="31"/>
      <c r="EIL19" s="31"/>
      <c r="EIM19" s="31"/>
      <c r="EIN19" s="31"/>
      <c r="EIO19" s="31"/>
      <c r="EIP19" s="31"/>
      <c r="EIQ19" s="31"/>
      <c r="EIR19" s="31"/>
      <c r="EIS19" s="31"/>
      <c r="EIT19" s="31"/>
      <c r="EIU19" s="31"/>
      <c r="EJJ19" s="33"/>
      <c r="EJK19" s="31"/>
      <c r="EJL19" s="31"/>
      <c r="EJM19" s="48"/>
      <c r="EJN19" s="31"/>
      <c r="EJO19" s="31"/>
      <c r="EJP19" s="31"/>
      <c r="EJQ19" s="31"/>
      <c r="EJR19" s="31"/>
      <c r="EJS19" s="31"/>
      <c r="EJT19" s="31"/>
      <c r="EJU19" s="31"/>
      <c r="EJV19" s="31"/>
      <c r="EJW19" s="31"/>
      <c r="EJX19" s="31"/>
      <c r="EJY19" s="31"/>
      <c r="EJZ19" s="31"/>
      <c r="EKA19" s="31"/>
      <c r="EKP19" s="33"/>
      <c r="EKQ19" s="31"/>
      <c r="EKR19" s="31"/>
      <c r="EKS19" s="48"/>
      <c r="EKT19" s="31"/>
      <c r="EKU19" s="31"/>
      <c r="EKV19" s="31"/>
      <c r="EKW19" s="31"/>
      <c r="EKX19" s="31"/>
      <c r="EKY19" s="31"/>
      <c r="EKZ19" s="31"/>
      <c r="ELA19" s="31"/>
      <c r="ELB19" s="31"/>
      <c r="ELC19" s="31"/>
      <c r="ELD19" s="31"/>
      <c r="ELE19" s="31"/>
      <c r="ELF19" s="31"/>
      <c r="ELG19" s="31"/>
      <c r="ELV19" s="33"/>
      <c r="ELW19" s="31"/>
      <c r="ELX19" s="31"/>
      <c r="ELY19" s="48"/>
      <c r="ELZ19" s="31"/>
      <c r="EMA19" s="31"/>
      <c r="EMB19" s="31"/>
      <c r="EMC19" s="31"/>
      <c r="EMD19" s="31"/>
      <c r="EME19" s="31"/>
      <c r="EMF19" s="31"/>
      <c r="EMG19" s="31"/>
      <c r="EMH19" s="31"/>
      <c r="EMI19" s="31"/>
      <c r="EMJ19" s="31"/>
      <c r="EMK19" s="31"/>
      <c r="EML19" s="31"/>
      <c r="EMM19" s="31"/>
      <c r="ENB19" s="33"/>
      <c r="ENC19" s="31"/>
      <c r="END19" s="31"/>
      <c r="ENE19" s="48"/>
      <c r="ENF19" s="31"/>
      <c r="ENG19" s="31"/>
      <c r="ENH19" s="31"/>
      <c r="ENI19" s="31"/>
      <c r="ENJ19" s="31"/>
      <c r="ENK19" s="31"/>
      <c r="ENL19" s="31"/>
      <c r="ENM19" s="31"/>
      <c r="ENN19" s="31"/>
      <c r="ENO19" s="31"/>
      <c r="ENP19" s="31"/>
      <c r="ENQ19" s="31"/>
      <c r="ENR19" s="31"/>
      <c r="ENS19" s="31"/>
      <c r="EOH19" s="33"/>
      <c r="EOI19" s="31"/>
      <c r="EOJ19" s="31"/>
      <c r="EOK19" s="48"/>
      <c r="EOL19" s="31"/>
      <c r="EOM19" s="31"/>
      <c r="EON19" s="31"/>
      <c r="EOO19" s="31"/>
      <c r="EOP19" s="31"/>
      <c r="EOQ19" s="31"/>
      <c r="EOR19" s="31"/>
      <c r="EOS19" s="31"/>
      <c r="EOT19" s="31"/>
      <c r="EOU19" s="31"/>
      <c r="EOV19" s="31"/>
      <c r="EOW19" s="31"/>
      <c r="EOX19" s="31"/>
      <c r="EOY19" s="31"/>
      <c r="EPN19" s="33"/>
      <c r="EPO19" s="31"/>
      <c r="EPP19" s="31"/>
      <c r="EPQ19" s="48"/>
      <c r="EPR19" s="31"/>
      <c r="EPS19" s="31"/>
      <c r="EPT19" s="31"/>
      <c r="EPU19" s="31"/>
      <c r="EPV19" s="31"/>
      <c r="EPW19" s="31"/>
      <c r="EPX19" s="31"/>
      <c r="EPY19" s="31"/>
      <c r="EPZ19" s="31"/>
      <c r="EQA19" s="31"/>
      <c r="EQB19" s="31"/>
      <c r="EQC19" s="31"/>
      <c r="EQD19" s="31"/>
      <c r="EQE19" s="31"/>
      <c r="EQT19" s="33"/>
      <c r="EQU19" s="31"/>
      <c r="EQV19" s="31"/>
      <c r="EQW19" s="48"/>
      <c r="EQX19" s="31"/>
      <c r="EQY19" s="31"/>
      <c r="EQZ19" s="31"/>
      <c r="ERA19" s="31"/>
      <c r="ERB19" s="31"/>
      <c r="ERC19" s="31"/>
      <c r="ERD19" s="31"/>
      <c r="ERE19" s="31"/>
      <c r="ERF19" s="31"/>
      <c r="ERG19" s="31"/>
      <c r="ERH19" s="31"/>
      <c r="ERI19" s="31"/>
      <c r="ERJ19" s="31"/>
      <c r="ERK19" s="31"/>
      <c r="ERZ19" s="33"/>
      <c r="ESA19" s="31"/>
      <c r="ESB19" s="31"/>
      <c r="ESC19" s="48"/>
      <c r="ESD19" s="31"/>
      <c r="ESE19" s="31"/>
      <c r="ESF19" s="31"/>
      <c r="ESG19" s="31"/>
      <c r="ESH19" s="31"/>
      <c r="ESI19" s="31"/>
      <c r="ESJ19" s="31"/>
      <c r="ESK19" s="31"/>
      <c r="ESL19" s="31"/>
      <c r="ESM19" s="31"/>
      <c r="ESN19" s="31"/>
      <c r="ESO19" s="31"/>
      <c r="ESP19" s="31"/>
      <c r="ESQ19" s="31"/>
      <c r="ETF19" s="33"/>
      <c r="ETG19" s="31"/>
      <c r="ETH19" s="31"/>
      <c r="ETI19" s="48"/>
      <c r="ETJ19" s="31"/>
      <c r="ETK19" s="31"/>
      <c r="ETL19" s="31"/>
      <c r="ETM19" s="31"/>
      <c r="ETN19" s="31"/>
      <c r="ETO19" s="31"/>
      <c r="ETP19" s="31"/>
      <c r="ETQ19" s="31"/>
      <c r="ETR19" s="31"/>
      <c r="ETS19" s="31"/>
      <c r="ETT19" s="31"/>
      <c r="ETU19" s="31"/>
      <c r="ETV19" s="31"/>
      <c r="ETW19" s="31"/>
      <c r="EUL19" s="33"/>
      <c r="EUM19" s="31"/>
      <c r="EUN19" s="31"/>
      <c r="EUO19" s="48"/>
      <c r="EUP19" s="31"/>
      <c r="EUQ19" s="31"/>
      <c r="EUR19" s="31"/>
      <c r="EUS19" s="31"/>
      <c r="EUT19" s="31"/>
      <c r="EUU19" s="31"/>
      <c r="EUV19" s="31"/>
      <c r="EUW19" s="31"/>
      <c r="EUX19" s="31"/>
      <c r="EUY19" s="31"/>
      <c r="EUZ19" s="31"/>
      <c r="EVA19" s="31"/>
      <c r="EVB19" s="31"/>
      <c r="EVC19" s="31"/>
      <c r="EVR19" s="33"/>
      <c r="EVS19" s="31"/>
      <c r="EVT19" s="31"/>
      <c r="EVU19" s="48"/>
      <c r="EVV19" s="31"/>
      <c r="EVW19" s="31"/>
      <c r="EVX19" s="31"/>
      <c r="EVY19" s="31"/>
      <c r="EVZ19" s="31"/>
      <c r="EWA19" s="31"/>
      <c r="EWB19" s="31"/>
      <c r="EWC19" s="31"/>
      <c r="EWD19" s="31"/>
      <c r="EWE19" s="31"/>
      <c r="EWF19" s="31"/>
      <c r="EWG19" s="31"/>
      <c r="EWH19" s="31"/>
      <c r="EWI19" s="31"/>
      <c r="EWX19" s="33"/>
      <c r="EWY19" s="31"/>
      <c r="EWZ19" s="31"/>
      <c r="EXA19" s="48"/>
      <c r="EXB19" s="31"/>
      <c r="EXC19" s="31"/>
      <c r="EXD19" s="31"/>
      <c r="EXE19" s="31"/>
      <c r="EXF19" s="31"/>
      <c r="EXG19" s="31"/>
      <c r="EXH19" s="31"/>
      <c r="EXI19" s="31"/>
      <c r="EXJ19" s="31"/>
      <c r="EXK19" s="31"/>
      <c r="EXL19" s="31"/>
      <c r="EXM19" s="31"/>
      <c r="EXN19" s="31"/>
      <c r="EXO19" s="31"/>
      <c r="EYD19" s="33"/>
      <c r="EYE19" s="31"/>
      <c r="EYF19" s="31"/>
      <c r="EYG19" s="48"/>
      <c r="EYH19" s="31"/>
      <c r="EYI19" s="31"/>
      <c r="EYJ19" s="31"/>
      <c r="EYK19" s="31"/>
      <c r="EYL19" s="31"/>
      <c r="EYM19" s="31"/>
      <c r="EYN19" s="31"/>
      <c r="EYO19" s="31"/>
      <c r="EYP19" s="31"/>
      <c r="EYQ19" s="31"/>
      <c r="EYR19" s="31"/>
      <c r="EYS19" s="31"/>
      <c r="EYT19" s="31"/>
      <c r="EYU19" s="31"/>
      <c r="EZJ19" s="33"/>
      <c r="EZK19" s="31"/>
      <c r="EZL19" s="31"/>
      <c r="EZM19" s="48"/>
      <c r="EZN19" s="31"/>
      <c r="EZO19" s="31"/>
      <c r="EZP19" s="31"/>
      <c r="EZQ19" s="31"/>
      <c r="EZR19" s="31"/>
      <c r="EZS19" s="31"/>
      <c r="EZT19" s="31"/>
      <c r="EZU19" s="31"/>
      <c r="EZV19" s="31"/>
      <c r="EZW19" s="31"/>
      <c r="EZX19" s="31"/>
      <c r="EZY19" s="31"/>
      <c r="EZZ19" s="31"/>
      <c r="FAA19" s="31"/>
      <c r="FAP19" s="33"/>
      <c r="FAQ19" s="31"/>
      <c r="FAR19" s="31"/>
      <c r="FAS19" s="48"/>
      <c r="FAT19" s="31"/>
      <c r="FAU19" s="31"/>
      <c r="FAV19" s="31"/>
      <c r="FAW19" s="31"/>
      <c r="FAX19" s="31"/>
      <c r="FAY19" s="31"/>
      <c r="FAZ19" s="31"/>
      <c r="FBA19" s="31"/>
      <c r="FBB19" s="31"/>
      <c r="FBC19" s="31"/>
      <c r="FBD19" s="31"/>
      <c r="FBE19" s="31"/>
      <c r="FBF19" s="31"/>
      <c r="FBG19" s="31"/>
      <c r="FBV19" s="33"/>
      <c r="FBW19" s="31"/>
      <c r="FBX19" s="31"/>
      <c r="FBY19" s="48"/>
      <c r="FBZ19" s="31"/>
      <c r="FCA19" s="31"/>
      <c r="FCB19" s="31"/>
      <c r="FCC19" s="31"/>
      <c r="FCD19" s="31"/>
      <c r="FCE19" s="31"/>
      <c r="FCF19" s="31"/>
      <c r="FCG19" s="31"/>
      <c r="FCH19" s="31"/>
      <c r="FCI19" s="31"/>
      <c r="FCJ19" s="31"/>
      <c r="FCK19" s="31"/>
      <c r="FCL19" s="31"/>
      <c r="FCM19" s="31"/>
      <c r="FDB19" s="33"/>
      <c r="FDC19" s="31"/>
      <c r="FDD19" s="31"/>
      <c r="FDE19" s="48"/>
      <c r="FDF19" s="31"/>
      <c r="FDG19" s="31"/>
      <c r="FDH19" s="31"/>
      <c r="FDI19" s="31"/>
      <c r="FDJ19" s="31"/>
      <c r="FDK19" s="31"/>
      <c r="FDL19" s="31"/>
      <c r="FDM19" s="31"/>
      <c r="FDN19" s="31"/>
      <c r="FDO19" s="31"/>
      <c r="FDP19" s="31"/>
      <c r="FDQ19" s="31"/>
      <c r="FDR19" s="31"/>
      <c r="FDS19" s="31"/>
      <c r="FEH19" s="33"/>
      <c r="FEI19" s="31"/>
      <c r="FEJ19" s="31"/>
      <c r="FEK19" s="48"/>
      <c r="FEL19" s="31"/>
      <c r="FEM19" s="31"/>
      <c r="FEN19" s="31"/>
      <c r="FEO19" s="31"/>
      <c r="FEP19" s="31"/>
      <c r="FEQ19" s="31"/>
      <c r="FER19" s="31"/>
      <c r="FES19" s="31"/>
      <c r="FET19" s="31"/>
      <c r="FEU19" s="31"/>
      <c r="FEV19" s="31"/>
      <c r="FEW19" s="31"/>
      <c r="FEX19" s="31"/>
      <c r="FEY19" s="31"/>
      <c r="FFN19" s="33"/>
      <c r="FFO19" s="31"/>
      <c r="FFP19" s="31"/>
      <c r="FFQ19" s="48"/>
      <c r="FFR19" s="31"/>
      <c r="FFS19" s="31"/>
      <c r="FFT19" s="31"/>
      <c r="FFU19" s="31"/>
      <c r="FFV19" s="31"/>
      <c r="FFW19" s="31"/>
      <c r="FFX19" s="31"/>
      <c r="FFY19" s="31"/>
      <c r="FFZ19" s="31"/>
      <c r="FGA19" s="31"/>
      <c r="FGB19" s="31"/>
      <c r="FGC19" s="31"/>
      <c r="FGD19" s="31"/>
      <c r="FGE19" s="31"/>
      <c r="FGT19" s="33"/>
      <c r="FGU19" s="31"/>
      <c r="FGV19" s="31"/>
      <c r="FGW19" s="48"/>
      <c r="FGX19" s="31"/>
      <c r="FGY19" s="31"/>
      <c r="FGZ19" s="31"/>
      <c r="FHA19" s="31"/>
      <c r="FHB19" s="31"/>
      <c r="FHC19" s="31"/>
      <c r="FHD19" s="31"/>
      <c r="FHE19" s="31"/>
      <c r="FHF19" s="31"/>
      <c r="FHG19" s="31"/>
      <c r="FHH19" s="31"/>
      <c r="FHI19" s="31"/>
      <c r="FHJ19" s="31"/>
      <c r="FHK19" s="31"/>
      <c r="FHZ19" s="33"/>
      <c r="FIA19" s="31"/>
      <c r="FIB19" s="31"/>
      <c r="FIC19" s="48"/>
      <c r="FID19" s="31"/>
      <c r="FIE19" s="31"/>
      <c r="FIF19" s="31"/>
      <c r="FIG19" s="31"/>
      <c r="FIH19" s="31"/>
      <c r="FII19" s="31"/>
      <c r="FIJ19" s="31"/>
      <c r="FIK19" s="31"/>
      <c r="FIL19" s="31"/>
      <c r="FIM19" s="31"/>
      <c r="FIN19" s="31"/>
      <c r="FIO19" s="31"/>
      <c r="FIP19" s="31"/>
      <c r="FIQ19" s="31"/>
      <c r="FJF19" s="33"/>
      <c r="FJG19" s="31"/>
      <c r="FJH19" s="31"/>
      <c r="FJI19" s="48"/>
      <c r="FJJ19" s="31"/>
      <c r="FJK19" s="31"/>
      <c r="FJL19" s="31"/>
      <c r="FJM19" s="31"/>
      <c r="FJN19" s="31"/>
      <c r="FJO19" s="31"/>
      <c r="FJP19" s="31"/>
      <c r="FJQ19" s="31"/>
      <c r="FJR19" s="31"/>
      <c r="FJS19" s="31"/>
      <c r="FJT19" s="31"/>
      <c r="FJU19" s="31"/>
      <c r="FJV19" s="31"/>
      <c r="FJW19" s="31"/>
      <c r="FKL19" s="33"/>
      <c r="FKM19" s="31"/>
      <c r="FKN19" s="31"/>
      <c r="FKO19" s="48"/>
      <c r="FKP19" s="31"/>
      <c r="FKQ19" s="31"/>
      <c r="FKR19" s="31"/>
      <c r="FKS19" s="31"/>
      <c r="FKT19" s="31"/>
      <c r="FKU19" s="31"/>
      <c r="FKV19" s="31"/>
      <c r="FKW19" s="31"/>
      <c r="FKX19" s="31"/>
      <c r="FKY19" s="31"/>
      <c r="FKZ19" s="31"/>
      <c r="FLA19" s="31"/>
      <c r="FLB19" s="31"/>
      <c r="FLC19" s="31"/>
      <c r="FLR19" s="33"/>
      <c r="FLS19" s="31"/>
      <c r="FLT19" s="31"/>
      <c r="FLU19" s="48"/>
      <c r="FLV19" s="31"/>
      <c r="FLW19" s="31"/>
      <c r="FLX19" s="31"/>
      <c r="FLY19" s="31"/>
      <c r="FLZ19" s="31"/>
      <c r="FMA19" s="31"/>
      <c r="FMB19" s="31"/>
      <c r="FMC19" s="31"/>
      <c r="FMD19" s="31"/>
      <c r="FME19" s="31"/>
      <c r="FMF19" s="31"/>
      <c r="FMG19" s="31"/>
      <c r="FMH19" s="31"/>
      <c r="FMI19" s="31"/>
      <c r="FMX19" s="33"/>
      <c r="FMY19" s="31"/>
      <c r="FMZ19" s="31"/>
      <c r="FNA19" s="48"/>
      <c r="FNB19" s="31"/>
      <c r="FNC19" s="31"/>
      <c r="FND19" s="31"/>
      <c r="FNE19" s="31"/>
      <c r="FNF19" s="31"/>
      <c r="FNG19" s="31"/>
      <c r="FNH19" s="31"/>
      <c r="FNI19" s="31"/>
      <c r="FNJ19" s="31"/>
      <c r="FNK19" s="31"/>
      <c r="FNL19" s="31"/>
      <c r="FNM19" s="31"/>
      <c r="FNN19" s="31"/>
      <c r="FNO19" s="31"/>
      <c r="FOD19" s="33"/>
      <c r="FOE19" s="31"/>
      <c r="FOF19" s="31"/>
      <c r="FOG19" s="48"/>
      <c r="FOH19" s="31"/>
      <c r="FOI19" s="31"/>
      <c r="FOJ19" s="31"/>
      <c r="FOK19" s="31"/>
      <c r="FOL19" s="31"/>
      <c r="FOM19" s="31"/>
      <c r="FON19" s="31"/>
      <c r="FOO19" s="31"/>
      <c r="FOP19" s="31"/>
      <c r="FOQ19" s="31"/>
      <c r="FOR19" s="31"/>
      <c r="FOS19" s="31"/>
      <c r="FOT19" s="31"/>
      <c r="FOU19" s="31"/>
      <c r="FPJ19" s="33"/>
      <c r="FPK19" s="31"/>
      <c r="FPL19" s="31"/>
      <c r="FPM19" s="48"/>
      <c r="FPN19" s="31"/>
      <c r="FPO19" s="31"/>
      <c r="FPP19" s="31"/>
      <c r="FPQ19" s="31"/>
      <c r="FPR19" s="31"/>
      <c r="FPS19" s="31"/>
      <c r="FPT19" s="31"/>
      <c r="FPU19" s="31"/>
      <c r="FPV19" s="31"/>
      <c r="FPW19" s="31"/>
      <c r="FPX19" s="31"/>
      <c r="FPY19" s="31"/>
      <c r="FPZ19" s="31"/>
      <c r="FQA19" s="31"/>
      <c r="FQP19" s="33"/>
      <c r="FQQ19" s="31"/>
      <c r="FQR19" s="31"/>
      <c r="FQS19" s="48"/>
      <c r="FQT19" s="31"/>
      <c r="FQU19" s="31"/>
      <c r="FQV19" s="31"/>
      <c r="FQW19" s="31"/>
      <c r="FQX19" s="31"/>
      <c r="FQY19" s="31"/>
      <c r="FQZ19" s="31"/>
      <c r="FRA19" s="31"/>
      <c r="FRB19" s="31"/>
      <c r="FRC19" s="31"/>
      <c r="FRD19" s="31"/>
      <c r="FRE19" s="31"/>
      <c r="FRF19" s="31"/>
      <c r="FRG19" s="31"/>
      <c r="FRV19" s="33"/>
      <c r="FRW19" s="31"/>
      <c r="FRX19" s="31"/>
      <c r="FRY19" s="48"/>
      <c r="FRZ19" s="31"/>
      <c r="FSA19" s="31"/>
      <c r="FSB19" s="31"/>
      <c r="FSC19" s="31"/>
      <c r="FSD19" s="31"/>
      <c r="FSE19" s="31"/>
      <c r="FSF19" s="31"/>
      <c r="FSG19" s="31"/>
      <c r="FSH19" s="31"/>
      <c r="FSI19" s="31"/>
      <c r="FSJ19" s="31"/>
      <c r="FSK19" s="31"/>
      <c r="FSL19" s="31"/>
      <c r="FSM19" s="31"/>
      <c r="FTB19" s="33"/>
      <c r="FTC19" s="31"/>
      <c r="FTD19" s="31"/>
      <c r="FTE19" s="48"/>
      <c r="FTF19" s="31"/>
      <c r="FTG19" s="31"/>
      <c r="FTH19" s="31"/>
      <c r="FTI19" s="31"/>
      <c r="FTJ19" s="31"/>
      <c r="FTK19" s="31"/>
      <c r="FTL19" s="31"/>
      <c r="FTM19" s="31"/>
      <c r="FTN19" s="31"/>
      <c r="FTO19" s="31"/>
      <c r="FTP19" s="31"/>
      <c r="FTQ19" s="31"/>
      <c r="FTR19" s="31"/>
      <c r="FTS19" s="31"/>
      <c r="FUH19" s="33"/>
      <c r="FUI19" s="31"/>
      <c r="FUJ19" s="31"/>
      <c r="FUK19" s="48"/>
      <c r="FUL19" s="31"/>
      <c r="FUM19" s="31"/>
      <c r="FUN19" s="31"/>
      <c r="FUO19" s="31"/>
      <c r="FUP19" s="31"/>
      <c r="FUQ19" s="31"/>
      <c r="FUR19" s="31"/>
      <c r="FUS19" s="31"/>
      <c r="FUT19" s="31"/>
      <c r="FUU19" s="31"/>
      <c r="FUV19" s="31"/>
      <c r="FUW19" s="31"/>
      <c r="FUX19" s="31"/>
      <c r="FUY19" s="31"/>
      <c r="FVN19" s="33"/>
      <c r="FVO19" s="31"/>
      <c r="FVP19" s="31"/>
      <c r="FVQ19" s="48"/>
      <c r="FVR19" s="31"/>
      <c r="FVS19" s="31"/>
      <c r="FVT19" s="31"/>
      <c r="FVU19" s="31"/>
      <c r="FVV19" s="31"/>
      <c r="FVW19" s="31"/>
      <c r="FVX19" s="31"/>
      <c r="FVY19" s="31"/>
      <c r="FVZ19" s="31"/>
      <c r="FWA19" s="31"/>
      <c r="FWB19" s="31"/>
      <c r="FWC19" s="31"/>
      <c r="FWD19" s="31"/>
      <c r="FWE19" s="31"/>
      <c r="FWT19" s="33"/>
      <c r="FWU19" s="31"/>
      <c r="FWV19" s="31"/>
      <c r="FWW19" s="48"/>
      <c r="FWX19" s="31"/>
      <c r="FWY19" s="31"/>
      <c r="FWZ19" s="31"/>
      <c r="FXA19" s="31"/>
      <c r="FXB19" s="31"/>
      <c r="FXC19" s="31"/>
      <c r="FXD19" s="31"/>
      <c r="FXE19" s="31"/>
      <c r="FXF19" s="31"/>
      <c r="FXG19" s="31"/>
      <c r="FXH19" s="31"/>
      <c r="FXI19" s="31"/>
      <c r="FXJ19" s="31"/>
      <c r="FXK19" s="31"/>
      <c r="FXZ19" s="33"/>
      <c r="FYA19" s="31"/>
      <c r="FYB19" s="31"/>
      <c r="FYC19" s="48"/>
      <c r="FYD19" s="31"/>
      <c r="FYE19" s="31"/>
      <c r="FYF19" s="31"/>
      <c r="FYG19" s="31"/>
      <c r="FYH19" s="31"/>
      <c r="FYI19" s="31"/>
      <c r="FYJ19" s="31"/>
      <c r="FYK19" s="31"/>
      <c r="FYL19" s="31"/>
      <c r="FYM19" s="31"/>
      <c r="FYN19" s="31"/>
      <c r="FYO19" s="31"/>
      <c r="FYP19" s="31"/>
      <c r="FYQ19" s="31"/>
      <c r="FZF19" s="33"/>
      <c r="FZG19" s="31"/>
      <c r="FZH19" s="31"/>
      <c r="FZI19" s="48"/>
      <c r="FZJ19" s="31"/>
      <c r="FZK19" s="31"/>
      <c r="FZL19" s="31"/>
      <c r="FZM19" s="31"/>
      <c r="FZN19" s="31"/>
      <c r="FZO19" s="31"/>
      <c r="FZP19" s="31"/>
      <c r="FZQ19" s="31"/>
      <c r="FZR19" s="31"/>
      <c r="FZS19" s="31"/>
      <c r="FZT19" s="31"/>
      <c r="FZU19" s="31"/>
      <c r="FZV19" s="31"/>
      <c r="FZW19" s="31"/>
      <c r="GAL19" s="33"/>
      <c r="GAM19" s="31"/>
      <c r="GAN19" s="31"/>
      <c r="GAO19" s="48"/>
      <c r="GAP19" s="31"/>
      <c r="GAQ19" s="31"/>
      <c r="GAR19" s="31"/>
      <c r="GAS19" s="31"/>
      <c r="GAT19" s="31"/>
      <c r="GAU19" s="31"/>
      <c r="GAV19" s="31"/>
      <c r="GAW19" s="31"/>
      <c r="GAX19" s="31"/>
      <c r="GAY19" s="31"/>
      <c r="GAZ19" s="31"/>
      <c r="GBA19" s="31"/>
      <c r="GBB19" s="31"/>
      <c r="GBC19" s="31"/>
      <c r="GBR19" s="33"/>
      <c r="GBS19" s="31"/>
      <c r="GBT19" s="31"/>
      <c r="GBU19" s="48"/>
      <c r="GBV19" s="31"/>
      <c r="GBW19" s="31"/>
      <c r="GBX19" s="31"/>
      <c r="GBY19" s="31"/>
      <c r="GBZ19" s="31"/>
      <c r="GCA19" s="31"/>
      <c r="GCB19" s="31"/>
      <c r="GCC19" s="31"/>
      <c r="GCD19" s="31"/>
      <c r="GCE19" s="31"/>
      <c r="GCF19" s="31"/>
      <c r="GCG19" s="31"/>
      <c r="GCH19" s="31"/>
      <c r="GCI19" s="31"/>
      <c r="GCX19" s="33"/>
      <c r="GCY19" s="31"/>
      <c r="GCZ19" s="31"/>
      <c r="GDA19" s="48"/>
      <c r="GDB19" s="31"/>
      <c r="GDC19" s="31"/>
      <c r="GDD19" s="31"/>
      <c r="GDE19" s="31"/>
      <c r="GDF19" s="31"/>
      <c r="GDG19" s="31"/>
      <c r="GDH19" s="31"/>
      <c r="GDI19" s="31"/>
      <c r="GDJ19" s="31"/>
      <c r="GDK19" s="31"/>
      <c r="GDL19" s="31"/>
      <c r="GDM19" s="31"/>
      <c r="GDN19" s="31"/>
      <c r="GDO19" s="31"/>
      <c r="GED19" s="33"/>
      <c r="GEE19" s="31"/>
      <c r="GEF19" s="31"/>
      <c r="GEG19" s="48"/>
      <c r="GEH19" s="31"/>
      <c r="GEI19" s="31"/>
      <c r="GEJ19" s="31"/>
      <c r="GEK19" s="31"/>
      <c r="GEL19" s="31"/>
      <c r="GEM19" s="31"/>
      <c r="GEN19" s="31"/>
      <c r="GEO19" s="31"/>
      <c r="GEP19" s="31"/>
      <c r="GEQ19" s="31"/>
      <c r="GER19" s="31"/>
      <c r="GES19" s="31"/>
      <c r="GET19" s="31"/>
      <c r="GEU19" s="31"/>
      <c r="GFJ19" s="33"/>
      <c r="GFK19" s="31"/>
      <c r="GFL19" s="31"/>
      <c r="GFM19" s="48"/>
      <c r="GFN19" s="31"/>
      <c r="GFO19" s="31"/>
      <c r="GFP19" s="31"/>
      <c r="GFQ19" s="31"/>
      <c r="GFR19" s="31"/>
      <c r="GFS19" s="31"/>
      <c r="GFT19" s="31"/>
      <c r="GFU19" s="31"/>
      <c r="GFV19" s="31"/>
      <c r="GFW19" s="31"/>
      <c r="GFX19" s="31"/>
      <c r="GFY19" s="31"/>
      <c r="GFZ19" s="31"/>
      <c r="GGA19" s="31"/>
      <c r="GGP19" s="33"/>
      <c r="GGQ19" s="31"/>
      <c r="GGR19" s="31"/>
      <c r="GGS19" s="48"/>
      <c r="GGT19" s="31"/>
      <c r="GGU19" s="31"/>
      <c r="GGV19" s="31"/>
      <c r="GGW19" s="31"/>
      <c r="GGX19" s="31"/>
      <c r="GGY19" s="31"/>
      <c r="GGZ19" s="31"/>
      <c r="GHA19" s="31"/>
      <c r="GHB19" s="31"/>
      <c r="GHC19" s="31"/>
      <c r="GHD19" s="31"/>
      <c r="GHE19" s="31"/>
      <c r="GHF19" s="31"/>
      <c r="GHG19" s="31"/>
      <c r="GHV19" s="33"/>
      <c r="GHW19" s="31"/>
      <c r="GHX19" s="31"/>
      <c r="GHY19" s="48"/>
      <c r="GHZ19" s="31"/>
      <c r="GIA19" s="31"/>
      <c r="GIB19" s="31"/>
      <c r="GIC19" s="31"/>
      <c r="GID19" s="31"/>
      <c r="GIE19" s="31"/>
      <c r="GIF19" s="31"/>
      <c r="GIG19" s="31"/>
      <c r="GIH19" s="31"/>
      <c r="GII19" s="31"/>
      <c r="GIJ19" s="31"/>
      <c r="GIK19" s="31"/>
      <c r="GIL19" s="31"/>
      <c r="GIM19" s="31"/>
      <c r="GJB19" s="33"/>
      <c r="GJC19" s="31"/>
      <c r="GJD19" s="31"/>
      <c r="GJE19" s="48"/>
      <c r="GJF19" s="31"/>
      <c r="GJG19" s="31"/>
      <c r="GJH19" s="31"/>
      <c r="GJI19" s="31"/>
      <c r="GJJ19" s="31"/>
      <c r="GJK19" s="31"/>
      <c r="GJL19" s="31"/>
      <c r="GJM19" s="31"/>
      <c r="GJN19" s="31"/>
      <c r="GJO19" s="31"/>
      <c r="GJP19" s="31"/>
      <c r="GJQ19" s="31"/>
      <c r="GJR19" s="31"/>
      <c r="GJS19" s="31"/>
      <c r="GKH19" s="33"/>
      <c r="GKI19" s="31"/>
      <c r="GKJ19" s="31"/>
      <c r="GKK19" s="48"/>
      <c r="GKL19" s="31"/>
      <c r="GKM19" s="31"/>
      <c r="GKN19" s="31"/>
      <c r="GKO19" s="31"/>
      <c r="GKP19" s="31"/>
      <c r="GKQ19" s="31"/>
      <c r="GKR19" s="31"/>
      <c r="GKS19" s="31"/>
      <c r="GKT19" s="31"/>
      <c r="GKU19" s="31"/>
      <c r="GKV19" s="31"/>
      <c r="GKW19" s="31"/>
      <c r="GKX19" s="31"/>
      <c r="GKY19" s="31"/>
      <c r="GLN19" s="33"/>
      <c r="GLO19" s="31"/>
      <c r="GLP19" s="31"/>
      <c r="GLQ19" s="48"/>
      <c r="GLR19" s="31"/>
      <c r="GLS19" s="31"/>
      <c r="GLT19" s="31"/>
      <c r="GLU19" s="31"/>
      <c r="GLV19" s="31"/>
      <c r="GLW19" s="31"/>
      <c r="GLX19" s="31"/>
      <c r="GLY19" s="31"/>
      <c r="GLZ19" s="31"/>
      <c r="GMA19" s="31"/>
      <c r="GMB19" s="31"/>
      <c r="GMC19" s="31"/>
      <c r="GMD19" s="31"/>
      <c r="GME19" s="31"/>
      <c r="GMT19" s="33"/>
      <c r="GMU19" s="31"/>
      <c r="GMV19" s="31"/>
      <c r="GMW19" s="48"/>
      <c r="GMX19" s="31"/>
      <c r="GMY19" s="31"/>
      <c r="GMZ19" s="31"/>
      <c r="GNA19" s="31"/>
      <c r="GNB19" s="31"/>
      <c r="GNC19" s="31"/>
      <c r="GND19" s="31"/>
      <c r="GNE19" s="31"/>
      <c r="GNF19" s="31"/>
      <c r="GNG19" s="31"/>
      <c r="GNH19" s="31"/>
      <c r="GNI19" s="31"/>
      <c r="GNJ19" s="31"/>
      <c r="GNK19" s="31"/>
      <c r="GNZ19" s="33"/>
      <c r="GOA19" s="31"/>
      <c r="GOB19" s="31"/>
      <c r="GOC19" s="48"/>
      <c r="GOD19" s="31"/>
      <c r="GOE19" s="31"/>
      <c r="GOF19" s="31"/>
      <c r="GOG19" s="31"/>
      <c r="GOH19" s="31"/>
      <c r="GOI19" s="31"/>
      <c r="GOJ19" s="31"/>
      <c r="GOK19" s="31"/>
      <c r="GOL19" s="31"/>
      <c r="GOM19" s="31"/>
      <c r="GON19" s="31"/>
      <c r="GOO19" s="31"/>
      <c r="GOP19" s="31"/>
      <c r="GOQ19" s="31"/>
      <c r="GPF19" s="33"/>
      <c r="GPG19" s="31"/>
      <c r="GPH19" s="31"/>
      <c r="GPI19" s="48"/>
      <c r="GPJ19" s="31"/>
      <c r="GPK19" s="31"/>
      <c r="GPL19" s="31"/>
      <c r="GPM19" s="31"/>
      <c r="GPN19" s="31"/>
      <c r="GPO19" s="31"/>
      <c r="GPP19" s="31"/>
      <c r="GPQ19" s="31"/>
      <c r="GPR19" s="31"/>
      <c r="GPS19" s="31"/>
      <c r="GPT19" s="31"/>
      <c r="GPU19" s="31"/>
      <c r="GPV19" s="31"/>
      <c r="GPW19" s="31"/>
      <c r="GQL19" s="33"/>
      <c r="GQM19" s="31"/>
      <c r="GQN19" s="31"/>
      <c r="GQO19" s="48"/>
      <c r="GQP19" s="31"/>
      <c r="GQQ19" s="31"/>
      <c r="GQR19" s="31"/>
      <c r="GQS19" s="31"/>
      <c r="GQT19" s="31"/>
      <c r="GQU19" s="31"/>
      <c r="GQV19" s="31"/>
      <c r="GQW19" s="31"/>
      <c r="GQX19" s="31"/>
      <c r="GQY19" s="31"/>
      <c r="GQZ19" s="31"/>
      <c r="GRA19" s="31"/>
      <c r="GRB19" s="31"/>
      <c r="GRC19" s="31"/>
      <c r="GRR19" s="33"/>
      <c r="GRS19" s="31"/>
      <c r="GRT19" s="31"/>
      <c r="GRU19" s="48"/>
      <c r="GRV19" s="31"/>
      <c r="GRW19" s="31"/>
      <c r="GRX19" s="31"/>
      <c r="GRY19" s="31"/>
      <c r="GRZ19" s="31"/>
      <c r="GSA19" s="31"/>
      <c r="GSB19" s="31"/>
      <c r="GSC19" s="31"/>
      <c r="GSD19" s="31"/>
      <c r="GSE19" s="31"/>
      <c r="GSF19" s="31"/>
      <c r="GSG19" s="31"/>
      <c r="GSH19" s="31"/>
      <c r="GSI19" s="31"/>
      <c r="GSX19" s="33"/>
      <c r="GSY19" s="31"/>
      <c r="GSZ19" s="31"/>
      <c r="GTA19" s="48"/>
      <c r="GTB19" s="31"/>
      <c r="GTC19" s="31"/>
      <c r="GTD19" s="31"/>
      <c r="GTE19" s="31"/>
      <c r="GTF19" s="31"/>
      <c r="GTG19" s="31"/>
      <c r="GTH19" s="31"/>
      <c r="GTI19" s="31"/>
      <c r="GTJ19" s="31"/>
      <c r="GTK19" s="31"/>
      <c r="GTL19" s="31"/>
      <c r="GTM19" s="31"/>
      <c r="GTN19" s="31"/>
      <c r="GTO19" s="31"/>
      <c r="GUD19" s="33"/>
      <c r="GUE19" s="31"/>
      <c r="GUF19" s="31"/>
      <c r="GUG19" s="48"/>
      <c r="GUH19" s="31"/>
      <c r="GUI19" s="31"/>
      <c r="GUJ19" s="31"/>
      <c r="GUK19" s="31"/>
      <c r="GUL19" s="31"/>
      <c r="GUM19" s="31"/>
      <c r="GUN19" s="31"/>
      <c r="GUO19" s="31"/>
      <c r="GUP19" s="31"/>
      <c r="GUQ19" s="31"/>
      <c r="GUR19" s="31"/>
      <c r="GUS19" s="31"/>
      <c r="GUT19" s="31"/>
      <c r="GUU19" s="31"/>
      <c r="GVJ19" s="33"/>
      <c r="GVK19" s="31"/>
      <c r="GVL19" s="31"/>
      <c r="GVM19" s="48"/>
      <c r="GVN19" s="31"/>
      <c r="GVO19" s="31"/>
      <c r="GVP19" s="31"/>
      <c r="GVQ19" s="31"/>
      <c r="GVR19" s="31"/>
      <c r="GVS19" s="31"/>
      <c r="GVT19" s="31"/>
      <c r="GVU19" s="31"/>
      <c r="GVV19" s="31"/>
      <c r="GVW19" s="31"/>
      <c r="GVX19" s="31"/>
      <c r="GVY19" s="31"/>
      <c r="GVZ19" s="31"/>
      <c r="GWA19" s="31"/>
      <c r="GWP19" s="33"/>
      <c r="GWQ19" s="31"/>
      <c r="GWR19" s="31"/>
      <c r="GWS19" s="48"/>
      <c r="GWT19" s="31"/>
      <c r="GWU19" s="31"/>
      <c r="GWV19" s="31"/>
      <c r="GWW19" s="31"/>
      <c r="GWX19" s="31"/>
      <c r="GWY19" s="31"/>
      <c r="GWZ19" s="31"/>
      <c r="GXA19" s="31"/>
      <c r="GXB19" s="31"/>
      <c r="GXC19" s="31"/>
      <c r="GXD19" s="31"/>
      <c r="GXE19" s="31"/>
      <c r="GXF19" s="31"/>
      <c r="GXG19" s="31"/>
      <c r="GXV19" s="33"/>
      <c r="GXW19" s="31"/>
      <c r="GXX19" s="31"/>
      <c r="GXY19" s="48"/>
      <c r="GXZ19" s="31"/>
      <c r="GYA19" s="31"/>
      <c r="GYB19" s="31"/>
      <c r="GYC19" s="31"/>
      <c r="GYD19" s="31"/>
      <c r="GYE19" s="31"/>
      <c r="GYF19" s="31"/>
      <c r="GYG19" s="31"/>
      <c r="GYH19" s="31"/>
      <c r="GYI19" s="31"/>
      <c r="GYJ19" s="31"/>
      <c r="GYK19" s="31"/>
      <c r="GYL19" s="31"/>
      <c r="GYM19" s="31"/>
      <c r="GZB19" s="33"/>
      <c r="GZC19" s="31"/>
      <c r="GZD19" s="31"/>
      <c r="GZE19" s="48"/>
      <c r="GZF19" s="31"/>
      <c r="GZG19" s="31"/>
      <c r="GZH19" s="31"/>
      <c r="GZI19" s="31"/>
      <c r="GZJ19" s="31"/>
      <c r="GZK19" s="31"/>
      <c r="GZL19" s="31"/>
      <c r="GZM19" s="31"/>
      <c r="GZN19" s="31"/>
      <c r="GZO19" s="31"/>
      <c r="GZP19" s="31"/>
      <c r="GZQ19" s="31"/>
      <c r="GZR19" s="31"/>
      <c r="GZS19" s="31"/>
      <c r="HAH19" s="33"/>
      <c r="HAI19" s="31"/>
      <c r="HAJ19" s="31"/>
      <c r="HAK19" s="48"/>
      <c r="HAL19" s="31"/>
      <c r="HAM19" s="31"/>
      <c r="HAN19" s="31"/>
      <c r="HAO19" s="31"/>
      <c r="HAP19" s="31"/>
      <c r="HAQ19" s="31"/>
      <c r="HAR19" s="31"/>
      <c r="HAS19" s="31"/>
      <c r="HAT19" s="31"/>
      <c r="HAU19" s="31"/>
      <c r="HAV19" s="31"/>
      <c r="HAW19" s="31"/>
      <c r="HAX19" s="31"/>
      <c r="HAY19" s="31"/>
      <c r="HBN19" s="33"/>
      <c r="HBO19" s="31"/>
      <c r="HBP19" s="31"/>
      <c r="HBQ19" s="48"/>
      <c r="HBR19" s="31"/>
      <c r="HBS19" s="31"/>
      <c r="HBT19" s="31"/>
      <c r="HBU19" s="31"/>
      <c r="HBV19" s="31"/>
      <c r="HBW19" s="31"/>
      <c r="HBX19" s="31"/>
      <c r="HBY19" s="31"/>
      <c r="HBZ19" s="31"/>
      <c r="HCA19" s="31"/>
      <c r="HCB19" s="31"/>
      <c r="HCC19" s="31"/>
      <c r="HCD19" s="31"/>
      <c r="HCE19" s="31"/>
      <c r="HCT19" s="33"/>
      <c r="HCU19" s="31"/>
      <c r="HCV19" s="31"/>
      <c r="HCW19" s="48"/>
      <c r="HCX19" s="31"/>
      <c r="HCY19" s="31"/>
      <c r="HCZ19" s="31"/>
      <c r="HDA19" s="31"/>
      <c r="HDB19" s="31"/>
      <c r="HDC19" s="31"/>
      <c r="HDD19" s="31"/>
      <c r="HDE19" s="31"/>
      <c r="HDF19" s="31"/>
      <c r="HDG19" s="31"/>
      <c r="HDH19" s="31"/>
      <c r="HDI19" s="31"/>
      <c r="HDJ19" s="31"/>
      <c r="HDK19" s="31"/>
      <c r="HDZ19" s="33"/>
      <c r="HEA19" s="31"/>
      <c r="HEB19" s="31"/>
      <c r="HEC19" s="48"/>
      <c r="HED19" s="31"/>
      <c r="HEE19" s="31"/>
      <c r="HEF19" s="31"/>
      <c r="HEG19" s="31"/>
      <c r="HEH19" s="31"/>
      <c r="HEI19" s="31"/>
      <c r="HEJ19" s="31"/>
      <c r="HEK19" s="31"/>
      <c r="HEL19" s="31"/>
      <c r="HEM19" s="31"/>
      <c r="HEN19" s="31"/>
      <c r="HEO19" s="31"/>
      <c r="HEP19" s="31"/>
      <c r="HEQ19" s="31"/>
      <c r="HFF19" s="33"/>
      <c r="HFG19" s="31"/>
      <c r="HFH19" s="31"/>
      <c r="HFI19" s="48"/>
      <c r="HFJ19" s="31"/>
      <c r="HFK19" s="31"/>
      <c r="HFL19" s="31"/>
      <c r="HFM19" s="31"/>
      <c r="HFN19" s="31"/>
      <c r="HFO19" s="31"/>
      <c r="HFP19" s="31"/>
      <c r="HFQ19" s="31"/>
      <c r="HFR19" s="31"/>
      <c r="HFS19" s="31"/>
      <c r="HFT19" s="31"/>
      <c r="HFU19" s="31"/>
      <c r="HFV19" s="31"/>
      <c r="HFW19" s="31"/>
      <c r="HGL19" s="33"/>
      <c r="HGM19" s="31"/>
      <c r="HGN19" s="31"/>
      <c r="HGO19" s="48"/>
      <c r="HGP19" s="31"/>
      <c r="HGQ19" s="31"/>
      <c r="HGR19" s="31"/>
      <c r="HGS19" s="31"/>
      <c r="HGT19" s="31"/>
      <c r="HGU19" s="31"/>
      <c r="HGV19" s="31"/>
      <c r="HGW19" s="31"/>
      <c r="HGX19" s="31"/>
      <c r="HGY19" s="31"/>
      <c r="HGZ19" s="31"/>
      <c r="HHA19" s="31"/>
      <c r="HHB19" s="31"/>
      <c r="HHC19" s="31"/>
      <c r="HHR19" s="33"/>
      <c r="HHS19" s="31"/>
      <c r="HHT19" s="31"/>
      <c r="HHU19" s="48"/>
      <c r="HHV19" s="31"/>
      <c r="HHW19" s="31"/>
      <c r="HHX19" s="31"/>
      <c r="HHY19" s="31"/>
      <c r="HHZ19" s="31"/>
      <c r="HIA19" s="31"/>
      <c r="HIB19" s="31"/>
      <c r="HIC19" s="31"/>
      <c r="HID19" s="31"/>
      <c r="HIE19" s="31"/>
      <c r="HIF19" s="31"/>
      <c r="HIG19" s="31"/>
      <c r="HIH19" s="31"/>
      <c r="HII19" s="31"/>
      <c r="HIX19" s="33"/>
      <c r="HIY19" s="31"/>
      <c r="HIZ19" s="31"/>
      <c r="HJA19" s="48"/>
      <c r="HJB19" s="31"/>
      <c r="HJC19" s="31"/>
      <c r="HJD19" s="31"/>
      <c r="HJE19" s="31"/>
      <c r="HJF19" s="31"/>
      <c r="HJG19" s="31"/>
      <c r="HJH19" s="31"/>
      <c r="HJI19" s="31"/>
      <c r="HJJ19" s="31"/>
      <c r="HJK19" s="31"/>
      <c r="HJL19" s="31"/>
      <c r="HJM19" s="31"/>
      <c r="HJN19" s="31"/>
      <c r="HJO19" s="31"/>
      <c r="HKD19" s="33"/>
      <c r="HKE19" s="31"/>
      <c r="HKF19" s="31"/>
      <c r="HKG19" s="48"/>
      <c r="HKH19" s="31"/>
      <c r="HKI19" s="31"/>
      <c r="HKJ19" s="31"/>
      <c r="HKK19" s="31"/>
      <c r="HKL19" s="31"/>
      <c r="HKM19" s="31"/>
      <c r="HKN19" s="31"/>
      <c r="HKO19" s="31"/>
      <c r="HKP19" s="31"/>
      <c r="HKQ19" s="31"/>
      <c r="HKR19" s="31"/>
      <c r="HKS19" s="31"/>
      <c r="HKT19" s="31"/>
      <c r="HKU19" s="31"/>
      <c r="HLJ19" s="33"/>
      <c r="HLK19" s="31"/>
      <c r="HLL19" s="31"/>
      <c r="HLM19" s="48"/>
      <c r="HLN19" s="31"/>
      <c r="HLO19" s="31"/>
      <c r="HLP19" s="31"/>
      <c r="HLQ19" s="31"/>
      <c r="HLR19" s="31"/>
      <c r="HLS19" s="31"/>
      <c r="HLT19" s="31"/>
      <c r="HLU19" s="31"/>
      <c r="HLV19" s="31"/>
      <c r="HLW19" s="31"/>
      <c r="HLX19" s="31"/>
      <c r="HLY19" s="31"/>
      <c r="HLZ19" s="31"/>
      <c r="HMA19" s="31"/>
      <c r="HMP19" s="33"/>
      <c r="HMQ19" s="31"/>
      <c r="HMR19" s="31"/>
      <c r="HMS19" s="48"/>
      <c r="HMT19" s="31"/>
      <c r="HMU19" s="31"/>
      <c r="HMV19" s="31"/>
      <c r="HMW19" s="31"/>
      <c r="HMX19" s="31"/>
      <c r="HMY19" s="31"/>
      <c r="HMZ19" s="31"/>
      <c r="HNA19" s="31"/>
      <c r="HNB19" s="31"/>
      <c r="HNC19" s="31"/>
      <c r="HND19" s="31"/>
      <c r="HNE19" s="31"/>
      <c r="HNF19" s="31"/>
      <c r="HNG19" s="31"/>
      <c r="HNV19" s="33"/>
      <c r="HNW19" s="31"/>
      <c r="HNX19" s="31"/>
      <c r="HNY19" s="48"/>
      <c r="HNZ19" s="31"/>
      <c r="HOA19" s="31"/>
      <c r="HOB19" s="31"/>
      <c r="HOC19" s="31"/>
      <c r="HOD19" s="31"/>
      <c r="HOE19" s="31"/>
      <c r="HOF19" s="31"/>
      <c r="HOG19" s="31"/>
      <c r="HOH19" s="31"/>
      <c r="HOI19" s="31"/>
      <c r="HOJ19" s="31"/>
      <c r="HOK19" s="31"/>
      <c r="HOL19" s="31"/>
      <c r="HOM19" s="31"/>
      <c r="HPB19" s="33"/>
      <c r="HPC19" s="31"/>
      <c r="HPD19" s="31"/>
      <c r="HPE19" s="48"/>
      <c r="HPF19" s="31"/>
      <c r="HPG19" s="31"/>
      <c r="HPH19" s="31"/>
      <c r="HPI19" s="31"/>
      <c r="HPJ19" s="31"/>
      <c r="HPK19" s="31"/>
      <c r="HPL19" s="31"/>
      <c r="HPM19" s="31"/>
      <c r="HPN19" s="31"/>
      <c r="HPO19" s="31"/>
      <c r="HPP19" s="31"/>
      <c r="HPQ19" s="31"/>
      <c r="HPR19" s="31"/>
      <c r="HPS19" s="31"/>
      <c r="HQH19" s="33"/>
      <c r="HQI19" s="31"/>
      <c r="HQJ19" s="31"/>
      <c r="HQK19" s="48"/>
      <c r="HQL19" s="31"/>
      <c r="HQM19" s="31"/>
      <c r="HQN19" s="31"/>
      <c r="HQO19" s="31"/>
      <c r="HQP19" s="31"/>
      <c r="HQQ19" s="31"/>
      <c r="HQR19" s="31"/>
      <c r="HQS19" s="31"/>
      <c r="HQT19" s="31"/>
      <c r="HQU19" s="31"/>
      <c r="HQV19" s="31"/>
      <c r="HQW19" s="31"/>
      <c r="HQX19" s="31"/>
      <c r="HQY19" s="31"/>
      <c r="HRN19" s="33"/>
      <c r="HRO19" s="31"/>
      <c r="HRP19" s="31"/>
      <c r="HRQ19" s="48"/>
      <c r="HRR19" s="31"/>
      <c r="HRS19" s="31"/>
      <c r="HRT19" s="31"/>
      <c r="HRU19" s="31"/>
      <c r="HRV19" s="31"/>
      <c r="HRW19" s="31"/>
      <c r="HRX19" s="31"/>
      <c r="HRY19" s="31"/>
      <c r="HRZ19" s="31"/>
      <c r="HSA19" s="31"/>
      <c r="HSB19" s="31"/>
      <c r="HSC19" s="31"/>
      <c r="HSD19" s="31"/>
      <c r="HSE19" s="31"/>
      <c r="HST19" s="33"/>
      <c r="HSU19" s="31"/>
      <c r="HSV19" s="31"/>
      <c r="HSW19" s="48"/>
      <c r="HSX19" s="31"/>
      <c r="HSY19" s="31"/>
      <c r="HSZ19" s="31"/>
      <c r="HTA19" s="31"/>
      <c r="HTB19" s="31"/>
      <c r="HTC19" s="31"/>
      <c r="HTD19" s="31"/>
      <c r="HTE19" s="31"/>
      <c r="HTF19" s="31"/>
      <c r="HTG19" s="31"/>
      <c r="HTH19" s="31"/>
      <c r="HTI19" s="31"/>
      <c r="HTJ19" s="31"/>
      <c r="HTK19" s="31"/>
      <c r="HTZ19" s="33"/>
      <c r="HUA19" s="31"/>
      <c r="HUB19" s="31"/>
      <c r="HUC19" s="48"/>
      <c r="HUD19" s="31"/>
      <c r="HUE19" s="31"/>
      <c r="HUF19" s="31"/>
      <c r="HUG19" s="31"/>
      <c r="HUH19" s="31"/>
      <c r="HUI19" s="31"/>
      <c r="HUJ19" s="31"/>
      <c r="HUK19" s="31"/>
      <c r="HUL19" s="31"/>
      <c r="HUM19" s="31"/>
      <c r="HUN19" s="31"/>
      <c r="HUO19" s="31"/>
      <c r="HUP19" s="31"/>
      <c r="HUQ19" s="31"/>
      <c r="HVF19" s="33"/>
      <c r="HVG19" s="31"/>
      <c r="HVH19" s="31"/>
      <c r="HVI19" s="48"/>
      <c r="HVJ19" s="31"/>
      <c r="HVK19" s="31"/>
      <c r="HVL19" s="31"/>
      <c r="HVM19" s="31"/>
      <c r="HVN19" s="31"/>
      <c r="HVO19" s="31"/>
      <c r="HVP19" s="31"/>
      <c r="HVQ19" s="31"/>
      <c r="HVR19" s="31"/>
      <c r="HVS19" s="31"/>
      <c r="HVT19" s="31"/>
      <c r="HVU19" s="31"/>
      <c r="HVV19" s="31"/>
      <c r="HVW19" s="31"/>
      <c r="HWL19" s="33"/>
      <c r="HWM19" s="31"/>
      <c r="HWN19" s="31"/>
      <c r="HWO19" s="48"/>
      <c r="HWP19" s="31"/>
      <c r="HWQ19" s="31"/>
      <c r="HWR19" s="31"/>
      <c r="HWS19" s="31"/>
      <c r="HWT19" s="31"/>
      <c r="HWU19" s="31"/>
      <c r="HWV19" s="31"/>
      <c r="HWW19" s="31"/>
      <c r="HWX19" s="31"/>
      <c r="HWY19" s="31"/>
      <c r="HWZ19" s="31"/>
      <c r="HXA19" s="31"/>
      <c r="HXB19" s="31"/>
      <c r="HXC19" s="31"/>
      <c r="HXR19" s="33"/>
      <c r="HXS19" s="31"/>
      <c r="HXT19" s="31"/>
      <c r="HXU19" s="48"/>
      <c r="HXV19" s="31"/>
      <c r="HXW19" s="31"/>
      <c r="HXX19" s="31"/>
      <c r="HXY19" s="31"/>
      <c r="HXZ19" s="31"/>
      <c r="HYA19" s="31"/>
      <c r="HYB19" s="31"/>
      <c r="HYC19" s="31"/>
      <c r="HYD19" s="31"/>
      <c r="HYE19" s="31"/>
      <c r="HYF19" s="31"/>
      <c r="HYG19" s="31"/>
      <c r="HYH19" s="31"/>
      <c r="HYI19" s="31"/>
      <c r="HYX19" s="33"/>
      <c r="HYY19" s="31"/>
      <c r="HYZ19" s="31"/>
      <c r="HZA19" s="48"/>
      <c r="HZB19" s="31"/>
      <c r="HZC19" s="31"/>
      <c r="HZD19" s="31"/>
      <c r="HZE19" s="31"/>
      <c r="HZF19" s="31"/>
      <c r="HZG19" s="31"/>
      <c r="HZH19" s="31"/>
      <c r="HZI19" s="31"/>
      <c r="HZJ19" s="31"/>
      <c r="HZK19" s="31"/>
      <c r="HZL19" s="31"/>
      <c r="HZM19" s="31"/>
      <c r="HZN19" s="31"/>
      <c r="HZO19" s="31"/>
      <c r="IAD19" s="33"/>
      <c r="IAE19" s="31"/>
      <c r="IAF19" s="31"/>
      <c r="IAG19" s="48"/>
      <c r="IAH19" s="31"/>
      <c r="IAI19" s="31"/>
      <c r="IAJ19" s="31"/>
      <c r="IAK19" s="31"/>
      <c r="IAL19" s="31"/>
      <c r="IAM19" s="31"/>
      <c r="IAN19" s="31"/>
      <c r="IAO19" s="31"/>
      <c r="IAP19" s="31"/>
      <c r="IAQ19" s="31"/>
      <c r="IAR19" s="31"/>
      <c r="IAS19" s="31"/>
      <c r="IAT19" s="31"/>
      <c r="IAU19" s="31"/>
      <c r="IBJ19" s="33"/>
      <c r="IBK19" s="31"/>
      <c r="IBL19" s="31"/>
      <c r="IBM19" s="48"/>
      <c r="IBN19" s="31"/>
      <c r="IBO19" s="31"/>
      <c r="IBP19" s="31"/>
      <c r="IBQ19" s="31"/>
      <c r="IBR19" s="31"/>
      <c r="IBS19" s="31"/>
      <c r="IBT19" s="31"/>
      <c r="IBU19" s="31"/>
      <c r="IBV19" s="31"/>
      <c r="IBW19" s="31"/>
      <c r="IBX19" s="31"/>
      <c r="IBY19" s="31"/>
      <c r="IBZ19" s="31"/>
      <c r="ICA19" s="31"/>
      <c r="ICP19" s="33"/>
      <c r="ICQ19" s="31"/>
      <c r="ICR19" s="31"/>
      <c r="ICS19" s="48"/>
      <c r="ICT19" s="31"/>
      <c r="ICU19" s="31"/>
      <c r="ICV19" s="31"/>
      <c r="ICW19" s="31"/>
      <c r="ICX19" s="31"/>
      <c r="ICY19" s="31"/>
      <c r="ICZ19" s="31"/>
      <c r="IDA19" s="31"/>
      <c r="IDB19" s="31"/>
      <c r="IDC19" s="31"/>
      <c r="IDD19" s="31"/>
      <c r="IDE19" s="31"/>
      <c r="IDF19" s="31"/>
      <c r="IDG19" s="31"/>
      <c r="IDV19" s="33"/>
      <c r="IDW19" s="31"/>
      <c r="IDX19" s="31"/>
      <c r="IDY19" s="48"/>
      <c r="IDZ19" s="31"/>
      <c r="IEA19" s="31"/>
      <c r="IEB19" s="31"/>
      <c r="IEC19" s="31"/>
      <c r="IED19" s="31"/>
      <c r="IEE19" s="31"/>
      <c r="IEF19" s="31"/>
      <c r="IEG19" s="31"/>
      <c r="IEH19" s="31"/>
      <c r="IEI19" s="31"/>
      <c r="IEJ19" s="31"/>
      <c r="IEK19" s="31"/>
      <c r="IEL19" s="31"/>
      <c r="IEM19" s="31"/>
      <c r="IFB19" s="33"/>
      <c r="IFC19" s="31"/>
      <c r="IFD19" s="31"/>
      <c r="IFE19" s="48"/>
      <c r="IFF19" s="31"/>
      <c r="IFG19" s="31"/>
      <c r="IFH19" s="31"/>
      <c r="IFI19" s="31"/>
      <c r="IFJ19" s="31"/>
      <c r="IFK19" s="31"/>
      <c r="IFL19" s="31"/>
      <c r="IFM19" s="31"/>
      <c r="IFN19" s="31"/>
      <c r="IFO19" s="31"/>
      <c r="IFP19" s="31"/>
      <c r="IFQ19" s="31"/>
      <c r="IFR19" s="31"/>
      <c r="IFS19" s="31"/>
      <c r="IGH19" s="33"/>
      <c r="IGI19" s="31"/>
      <c r="IGJ19" s="31"/>
      <c r="IGK19" s="48"/>
      <c r="IGL19" s="31"/>
      <c r="IGM19" s="31"/>
      <c r="IGN19" s="31"/>
      <c r="IGO19" s="31"/>
      <c r="IGP19" s="31"/>
      <c r="IGQ19" s="31"/>
      <c r="IGR19" s="31"/>
      <c r="IGS19" s="31"/>
      <c r="IGT19" s="31"/>
      <c r="IGU19" s="31"/>
      <c r="IGV19" s="31"/>
      <c r="IGW19" s="31"/>
      <c r="IGX19" s="31"/>
      <c r="IGY19" s="31"/>
      <c r="IHN19" s="33"/>
      <c r="IHO19" s="31"/>
      <c r="IHP19" s="31"/>
      <c r="IHQ19" s="48"/>
      <c r="IHR19" s="31"/>
      <c r="IHS19" s="31"/>
      <c r="IHT19" s="31"/>
      <c r="IHU19" s="31"/>
      <c r="IHV19" s="31"/>
      <c r="IHW19" s="31"/>
      <c r="IHX19" s="31"/>
      <c r="IHY19" s="31"/>
      <c r="IHZ19" s="31"/>
      <c r="IIA19" s="31"/>
      <c r="IIB19" s="31"/>
      <c r="IIC19" s="31"/>
      <c r="IID19" s="31"/>
      <c r="IIE19" s="31"/>
      <c r="IIT19" s="33"/>
      <c r="IIU19" s="31"/>
      <c r="IIV19" s="31"/>
      <c r="IIW19" s="48"/>
      <c r="IIX19" s="31"/>
      <c r="IIY19" s="31"/>
      <c r="IIZ19" s="31"/>
      <c r="IJA19" s="31"/>
      <c r="IJB19" s="31"/>
      <c r="IJC19" s="31"/>
      <c r="IJD19" s="31"/>
      <c r="IJE19" s="31"/>
      <c r="IJF19" s="31"/>
      <c r="IJG19" s="31"/>
      <c r="IJH19" s="31"/>
      <c r="IJI19" s="31"/>
      <c r="IJJ19" s="31"/>
      <c r="IJK19" s="31"/>
      <c r="IJZ19" s="33"/>
      <c r="IKA19" s="31"/>
      <c r="IKB19" s="31"/>
      <c r="IKC19" s="48"/>
      <c r="IKD19" s="31"/>
      <c r="IKE19" s="31"/>
      <c r="IKF19" s="31"/>
      <c r="IKG19" s="31"/>
      <c r="IKH19" s="31"/>
      <c r="IKI19" s="31"/>
      <c r="IKJ19" s="31"/>
      <c r="IKK19" s="31"/>
      <c r="IKL19" s="31"/>
      <c r="IKM19" s="31"/>
      <c r="IKN19" s="31"/>
      <c r="IKO19" s="31"/>
      <c r="IKP19" s="31"/>
      <c r="IKQ19" s="31"/>
      <c r="ILF19" s="33"/>
      <c r="ILG19" s="31"/>
      <c r="ILH19" s="31"/>
      <c r="ILI19" s="48"/>
      <c r="ILJ19" s="31"/>
      <c r="ILK19" s="31"/>
      <c r="ILL19" s="31"/>
      <c r="ILM19" s="31"/>
      <c r="ILN19" s="31"/>
      <c r="ILO19" s="31"/>
      <c r="ILP19" s="31"/>
      <c r="ILQ19" s="31"/>
      <c r="ILR19" s="31"/>
      <c r="ILS19" s="31"/>
      <c r="ILT19" s="31"/>
      <c r="ILU19" s="31"/>
      <c r="ILV19" s="31"/>
      <c r="ILW19" s="31"/>
      <c r="IML19" s="33"/>
      <c r="IMM19" s="31"/>
      <c r="IMN19" s="31"/>
      <c r="IMO19" s="48"/>
      <c r="IMP19" s="31"/>
      <c r="IMQ19" s="31"/>
      <c r="IMR19" s="31"/>
      <c r="IMS19" s="31"/>
      <c r="IMT19" s="31"/>
      <c r="IMU19" s="31"/>
      <c r="IMV19" s="31"/>
      <c r="IMW19" s="31"/>
      <c r="IMX19" s="31"/>
      <c r="IMY19" s="31"/>
      <c r="IMZ19" s="31"/>
      <c r="INA19" s="31"/>
      <c r="INB19" s="31"/>
      <c r="INC19" s="31"/>
      <c r="INR19" s="33"/>
      <c r="INS19" s="31"/>
      <c r="INT19" s="31"/>
      <c r="INU19" s="48"/>
      <c r="INV19" s="31"/>
      <c r="INW19" s="31"/>
      <c r="INX19" s="31"/>
      <c r="INY19" s="31"/>
      <c r="INZ19" s="31"/>
      <c r="IOA19" s="31"/>
      <c r="IOB19" s="31"/>
      <c r="IOC19" s="31"/>
      <c r="IOD19" s="31"/>
      <c r="IOE19" s="31"/>
      <c r="IOF19" s="31"/>
      <c r="IOG19" s="31"/>
      <c r="IOH19" s="31"/>
      <c r="IOI19" s="31"/>
      <c r="IOX19" s="33"/>
      <c r="IOY19" s="31"/>
      <c r="IOZ19" s="31"/>
      <c r="IPA19" s="48"/>
      <c r="IPB19" s="31"/>
      <c r="IPC19" s="31"/>
      <c r="IPD19" s="31"/>
      <c r="IPE19" s="31"/>
      <c r="IPF19" s="31"/>
      <c r="IPG19" s="31"/>
      <c r="IPH19" s="31"/>
      <c r="IPI19" s="31"/>
      <c r="IPJ19" s="31"/>
      <c r="IPK19" s="31"/>
      <c r="IPL19" s="31"/>
      <c r="IPM19" s="31"/>
      <c r="IPN19" s="31"/>
      <c r="IPO19" s="31"/>
      <c r="IQD19" s="33"/>
      <c r="IQE19" s="31"/>
      <c r="IQF19" s="31"/>
      <c r="IQG19" s="48"/>
      <c r="IQH19" s="31"/>
      <c r="IQI19" s="31"/>
      <c r="IQJ19" s="31"/>
      <c r="IQK19" s="31"/>
      <c r="IQL19" s="31"/>
      <c r="IQM19" s="31"/>
      <c r="IQN19" s="31"/>
      <c r="IQO19" s="31"/>
      <c r="IQP19" s="31"/>
      <c r="IQQ19" s="31"/>
      <c r="IQR19" s="31"/>
      <c r="IQS19" s="31"/>
      <c r="IQT19" s="31"/>
      <c r="IQU19" s="31"/>
      <c r="IRJ19" s="33"/>
      <c r="IRK19" s="31"/>
      <c r="IRL19" s="31"/>
      <c r="IRM19" s="48"/>
      <c r="IRN19" s="31"/>
      <c r="IRO19" s="31"/>
      <c r="IRP19" s="31"/>
      <c r="IRQ19" s="31"/>
      <c r="IRR19" s="31"/>
      <c r="IRS19" s="31"/>
      <c r="IRT19" s="31"/>
      <c r="IRU19" s="31"/>
      <c r="IRV19" s="31"/>
      <c r="IRW19" s="31"/>
      <c r="IRX19" s="31"/>
      <c r="IRY19" s="31"/>
      <c r="IRZ19" s="31"/>
      <c r="ISA19" s="31"/>
      <c r="ISP19" s="33"/>
      <c r="ISQ19" s="31"/>
      <c r="ISR19" s="31"/>
      <c r="ISS19" s="48"/>
      <c r="IST19" s="31"/>
      <c r="ISU19" s="31"/>
      <c r="ISV19" s="31"/>
      <c r="ISW19" s="31"/>
      <c r="ISX19" s="31"/>
      <c r="ISY19" s="31"/>
      <c r="ISZ19" s="31"/>
      <c r="ITA19" s="31"/>
      <c r="ITB19" s="31"/>
      <c r="ITC19" s="31"/>
      <c r="ITD19" s="31"/>
      <c r="ITE19" s="31"/>
      <c r="ITF19" s="31"/>
      <c r="ITG19" s="31"/>
      <c r="ITV19" s="33"/>
      <c r="ITW19" s="31"/>
      <c r="ITX19" s="31"/>
      <c r="ITY19" s="48"/>
      <c r="ITZ19" s="31"/>
      <c r="IUA19" s="31"/>
      <c r="IUB19" s="31"/>
      <c r="IUC19" s="31"/>
      <c r="IUD19" s="31"/>
      <c r="IUE19" s="31"/>
      <c r="IUF19" s="31"/>
      <c r="IUG19" s="31"/>
      <c r="IUH19" s="31"/>
      <c r="IUI19" s="31"/>
      <c r="IUJ19" s="31"/>
      <c r="IUK19" s="31"/>
      <c r="IUL19" s="31"/>
      <c r="IUM19" s="31"/>
      <c r="IVB19" s="33"/>
      <c r="IVC19" s="31"/>
      <c r="IVD19" s="31"/>
      <c r="IVE19" s="48"/>
      <c r="IVF19" s="31"/>
      <c r="IVG19" s="31"/>
      <c r="IVH19" s="31"/>
      <c r="IVI19" s="31"/>
      <c r="IVJ19" s="31"/>
      <c r="IVK19" s="31"/>
      <c r="IVL19" s="31"/>
      <c r="IVM19" s="31"/>
      <c r="IVN19" s="31"/>
      <c r="IVO19" s="31"/>
      <c r="IVP19" s="31"/>
      <c r="IVQ19" s="31"/>
      <c r="IVR19" s="31"/>
      <c r="IVS19" s="31"/>
      <c r="IWH19" s="33"/>
      <c r="IWI19" s="31"/>
      <c r="IWJ19" s="31"/>
      <c r="IWK19" s="48"/>
      <c r="IWL19" s="31"/>
      <c r="IWM19" s="31"/>
      <c r="IWN19" s="31"/>
      <c r="IWO19" s="31"/>
      <c r="IWP19" s="31"/>
      <c r="IWQ19" s="31"/>
      <c r="IWR19" s="31"/>
      <c r="IWS19" s="31"/>
      <c r="IWT19" s="31"/>
      <c r="IWU19" s="31"/>
      <c r="IWV19" s="31"/>
      <c r="IWW19" s="31"/>
      <c r="IWX19" s="31"/>
      <c r="IWY19" s="31"/>
      <c r="IXN19" s="33"/>
      <c r="IXO19" s="31"/>
      <c r="IXP19" s="31"/>
      <c r="IXQ19" s="48"/>
      <c r="IXR19" s="31"/>
      <c r="IXS19" s="31"/>
      <c r="IXT19" s="31"/>
      <c r="IXU19" s="31"/>
      <c r="IXV19" s="31"/>
      <c r="IXW19" s="31"/>
      <c r="IXX19" s="31"/>
      <c r="IXY19" s="31"/>
      <c r="IXZ19" s="31"/>
      <c r="IYA19" s="31"/>
      <c r="IYB19" s="31"/>
      <c r="IYC19" s="31"/>
      <c r="IYD19" s="31"/>
      <c r="IYE19" s="31"/>
      <c r="IYT19" s="33"/>
      <c r="IYU19" s="31"/>
      <c r="IYV19" s="31"/>
      <c r="IYW19" s="48"/>
      <c r="IYX19" s="31"/>
      <c r="IYY19" s="31"/>
      <c r="IYZ19" s="31"/>
      <c r="IZA19" s="31"/>
      <c r="IZB19" s="31"/>
      <c r="IZC19" s="31"/>
      <c r="IZD19" s="31"/>
      <c r="IZE19" s="31"/>
      <c r="IZF19" s="31"/>
      <c r="IZG19" s="31"/>
      <c r="IZH19" s="31"/>
      <c r="IZI19" s="31"/>
      <c r="IZJ19" s="31"/>
      <c r="IZK19" s="31"/>
      <c r="IZZ19" s="33"/>
      <c r="JAA19" s="31"/>
      <c r="JAB19" s="31"/>
      <c r="JAC19" s="48"/>
      <c r="JAD19" s="31"/>
      <c r="JAE19" s="31"/>
      <c r="JAF19" s="31"/>
      <c r="JAG19" s="31"/>
      <c r="JAH19" s="31"/>
      <c r="JAI19" s="31"/>
      <c r="JAJ19" s="31"/>
      <c r="JAK19" s="31"/>
      <c r="JAL19" s="31"/>
      <c r="JAM19" s="31"/>
      <c r="JAN19" s="31"/>
      <c r="JAO19" s="31"/>
      <c r="JAP19" s="31"/>
      <c r="JAQ19" s="31"/>
      <c r="JBF19" s="33"/>
      <c r="JBG19" s="31"/>
      <c r="JBH19" s="31"/>
      <c r="JBI19" s="48"/>
      <c r="JBJ19" s="31"/>
      <c r="JBK19" s="31"/>
      <c r="JBL19" s="31"/>
      <c r="JBM19" s="31"/>
      <c r="JBN19" s="31"/>
      <c r="JBO19" s="31"/>
      <c r="JBP19" s="31"/>
      <c r="JBQ19" s="31"/>
      <c r="JBR19" s="31"/>
      <c r="JBS19" s="31"/>
      <c r="JBT19" s="31"/>
      <c r="JBU19" s="31"/>
      <c r="JBV19" s="31"/>
      <c r="JBW19" s="31"/>
      <c r="JCL19" s="33"/>
      <c r="JCM19" s="31"/>
      <c r="JCN19" s="31"/>
      <c r="JCO19" s="48"/>
      <c r="JCP19" s="31"/>
      <c r="JCQ19" s="31"/>
      <c r="JCR19" s="31"/>
      <c r="JCS19" s="31"/>
      <c r="JCT19" s="31"/>
      <c r="JCU19" s="31"/>
      <c r="JCV19" s="31"/>
      <c r="JCW19" s="31"/>
      <c r="JCX19" s="31"/>
      <c r="JCY19" s="31"/>
      <c r="JCZ19" s="31"/>
      <c r="JDA19" s="31"/>
      <c r="JDB19" s="31"/>
      <c r="JDC19" s="31"/>
      <c r="JDR19" s="33"/>
      <c r="JDS19" s="31"/>
      <c r="JDT19" s="31"/>
      <c r="JDU19" s="48"/>
      <c r="JDV19" s="31"/>
      <c r="JDW19" s="31"/>
      <c r="JDX19" s="31"/>
      <c r="JDY19" s="31"/>
      <c r="JDZ19" s="31"/>
      <c r="JEA19" s="31"/>
      <c r="JEB19" s="31"/>
      <c r="JEC19" s="31"/>
      <c r="JED19" s="31"/>
      <c r="JEE19" s="31"/>
      <c r="JEF19" s="31"/>
      <c r="JEG19" s="31"/>
      <c r="JEH19" s="31"/>
      <c r="JEI19" s="31"/>
      <c r="JEX19" s="33"/>
      <c r="JEY19" s="31"/>
      <c r="JEZ19" s="31"/>
      <c r="JFA19" s="48"/>
      <c r="JFB19" s="31"/>
      <c r="JFC19" s="31"/>
      <c r="JFD19" s="31"/>
      <c r="JFE19" s="31"/>
      <c r="JFF19" s="31"/>
      <c r="JFG19" s="31"/>
      <c r="JFH19" s="31"/>
      <c r="JFI19" s="31"/>
      <c r="JFJ19" s="31"/>
      <c r="JFK19" s="31"/>
      <c r="JFL19" s="31"/>
      <c r="JFM19" s="31"/>
      <c r="JFN19" s="31"/>
      <c r="JFO19" s="31"/>
      <c r="JGD19" s="33"/>
      <c r="JGE19" s="31"/>
      <c r="JGF19" s="31"/>
      <c r="JGG19" s="48"/>
      <c r="JGH19" s="31"/>
      <c r="JGI19" s="31"/>
      <c r="JGJ19" s="31"/>
      <c r="JGK19" s="31"/>
      <c r="JGL19" s="31"/>
      <c r="JGM19" s="31"/>
      <c r="JGN19" s="31"/>
      <c r="JGO19" s="31"/>
      <c r="JGP19" s="31"/>
      <c r="JGQ19" s="31"/>
      <c r="JGR19" s="31"/>
      <c r="JGS19" s="31"/>
      <c r="JGT19" s="31"/>
      <c r="JGU19" s="31"/>
      <c r="JHJ19" s="33"/>
      <c r="JHK19" s="31"/>
      <c r="JHL19" s="31"/>
      <c r="JHM19" s="48"/>
      <c r="JHN19" s="31"/>
      <c r="JHO19" s="31"/>
      <c r="JHP19" s="31"/>
      <c r="JHQ19" s="31"/>
      <c r="JHR19" s="31"/>
      <c r="JHS19" s="31"/>
      <c r="JHT19" s="31"/>
      <c r="JHU19" s="31"/>
      <c r="JHV19" s="31"/>
      <c r="JHW19" s="31"/>
      <c r="JHX19" s="31"/>
      <c r="JHY19" s="31"/>
      <c r="JHZ19" s="31"/>
      <c r="JIA19" s="31"/>
      <c r="JIP19" s="33"/>
      <c r="JIQ19" s="31"/>
      <c r="JIR19" s="31"/>
      <c r="JIS19" s="48"/>
      <c r="JIT19" s="31"/>
      <c r="JIU19" s="31"/>
      <c r="JIV19" s="31"/>
      <c r="JIW19" s="31"/>
      <c r="JIX19" s="31"/>
      <c r="JIY19" s="31"/>
      <c r="JIZ19" s="31"/>
      <c r="JJA19" s="31"/>
      <c r="JJB19" s="31"/>
      <c r="JJC19" s="31"/>
      <c r="JJD19" s="31"/>
      <c r="JJE19" s="31"/>
      <c r="JJF19" s="31"/>
      <c r="JJG19" s="31"/>
      <c r="JJV19" s="33"/>
      <c r="JJW19" s="31"/>
      <c r="JJX19" s="31"/>
      <c r="JJY19" s="48"/>
      <c r="JJZ19" s="31"/>
      <c r="JKA19" s="31"/>
      <c r="JKB19" s="31"/>
      <c r="JKC19" s="31"/>
      <c r="JKD19" s="31"/>
      <c r="JKE19" s="31"/>
      <c r="JKF19" s="31"/>
      <c r="JKG19" s="31"/>
      <c r="JKH19" s="31"/>
      <c r="JKI19" s="31"/>
      <c r="JKJ19" s="31"/>
      <c r="JKK19" s="31"/>
      <c r="JKL19" s="31"/>
      <c r="JKM19" s="31"/>
      <c r="JLB19" s="33"/>
      <c r="JLC19" s="31"/>
      <c r="JLD19" s="31"/>
      <c r="JLE19" s="48"/>
      <c r="JLF19" s="31"/>
      <c r="JLG19" s="31"/>
      <c r="JLH19" s="31"/>
      <c r="JLI19" s="31"/>
      <c r="JLJ19" s="31"/>
      <c r="JLK19" s="31"/>
      <c r="JLL19" s="31"/>
      <c r="JLM19" s="31"/>
      <c r="JLN19" s="31"/>
      <c r="JLO19" s="31"/>
      <c r="JLP19" s="31"/>
      <c r="JLQ19" s="31"/>
      <c r="JLR19" s="31"/>
      <c r="JLS19" s="31"/>
      <c r="JMH19" s="33"/>
      <c r="JMI19" s="31"/>
      <c r="JMJ19" s="31"/>
      <c r="JMK19" s="48"/>
      <c r="JML19" s="31"/>
      <c r="JMM19" s="31"/>
      <c r="JMN19" s="31"/>
      <c r="JMO19" s="31"/>
      <c r="JMP19" s="31"/>
      <c r="JMQ19" s="31"/>
      <c r="JMR19" s="31"/>
      <c r="JMS19" s="31"/>
      <c r="JMT19" s="31"/>
      <c r="JMU19" s="31"/>
      <c r="JMV19" s="31"/>
      <c r="JMW19" s="31"/>
      <c r="JMX19" s="31"/>
      <c r="JMY19" s="31"/>
      <c r="JNN19" s="33"/>
      <c r="JNO19" s="31"/>
      <c r="JNP19" s="31"/>
      <c r="JNQ19" s="48"/>
      <c r="JNR19" s="31"/>
      <c r="JNS19" s="31"/>
      <c r="JNT19" s="31"/>
      <c r="JNU19" s="31"/>
      <c r="JNV19" s="31"/>
      <c r="JNW19" s="31"/>
      <c r="JNX19" s="31"/>
      <c r="JNY19" s="31"/>
      <c r="JNZ19" s="31"/>
      <c r="JOA19" s="31"/>
      <c r="JOB19" s="31"/>
      <c r="JOC19" s="31"/>
      <c r="JOD19" s="31"/>
      <c r="JOE19" s="31"/>
      <c r="JOT19" s="33"/>
      <c r="JOU19" s="31"/>
      <c r="JOV19" s="31"/>
      <c r="JOW19" s="48"/>
      <c r="JOX19" s="31"/>
      <c r="JOY19" s="31"/>
      <c r="JOZ19" s="31"/>
      <c r="JPA19" s="31"/>
      <c r="JPB19" s="31"/>
      <c r="JPC19" s="31"/>
      <c r="JPD19" s="31"/>
      <c r="JPE19" s="31"/>
      <c r="JPF19" s="31"/>
      <c r="JPG19" s="31"/>
      <c r="JPH19" s="31"/>
      <c r="JPI19" s="31"/>
      <c r="JPJ19" s="31"/>
      <c r="JPK19" s="31"/>
      <c r="JPZ19" s="33"/>
      <c r="JQA19" s="31"/>
      <c r="JQB19" s="31"/>
      <c r="JQC19" s="48"/>
      <c r="JQD19" s="31"/>
      <c r="JQE19" s="31"/>
      <c r="JQF19" s="31"/>
      <c r="JQG19" s="31"/>
      <c r="JQH19" s="31"/>
      <c r="JQI19" s="31"/>
      <c r="JQJ19" s="31"/>
      <c r="JQK19" s="31"/>
      <c r="JQL19" s="31"/>
      <c r="JQM19" s="31"/>
      <c r="JQN19" s="31"/>
      <c r="JQO19" s="31"/>
      <c r="JQP19" s="31"/>
      <c r="JQQ19" s="31"/>
      <c r="JRF19" s="33"/>
      <c r="JRG19" s="31"/>
      <c r="JRH19" s="31"/>
      <c r="JRI19" s="48"/>
      <c r="JRJ19" s="31"/>
      <c r="JRK19" s="31"/>
      <c r="JRL19" s="31"/>
      <c r="JRM19" s="31"/>
      <c r="JRN19" s="31"/>
      <c r="JRO19" s="31"/>
      <c r="JRP19" s="31"/>
      <c r="JRQ19" s="31"/>
      <c r="JRR19" s="31"/>
      <c r="JRS19" s="31"/>
      <c r="JRT19" s="31"/>
      <c r="JRU19" s="31"/>
      <c r="JRV19" s="31"/>
      <c r="JRW19" s="31"/>
      <c r="JSL19" s="33"/>
      <c r="JSM19" s="31"/>
      <c r="JSN19" s="31"/>
      <c r="JSO19" s="48"/>
      <c r="JSP19" s="31"/>
      <c r="JSQ19" s="31"/>
      <c r="JSR19" s="31"/>
      <c r="JSS19" s="31"/>
      <c r="JST19" s="31"/>
      <c r="JSU19" s="31"/>
      <c r="JSV19" s="31"/>
      <c r="JSW19" s="31"/>
      <c r="JSX19" s="31"/>
      <c r="JSY19" s="31"/>
      <c r="JSZ19" s="31"/>
      <c r="JTA19" s="31"/>
      <c r="JTB19" s="31"/>
      <c r="JTC19" s="31"/>
      <c r="JTR19" s="33"/>
      <c r="JTS19" s="31"/>
      <c r="JTT19" s="31"/>
      <c r="JTU19" s="48"/>
      <c r="JTV19" s="31"/>
      <c r="JTW19" s="31"/>
      <c r="JTX19" s="31"/>
      <c r="JTY19" s="31"/>
      <c r="JTZ19" s="31"/>
      <c r="JUA19" s="31"/>
      <c r="JUB19" s="31"/>
      <c r="JUC19" s="31"/>
      <c r="JUD19" s="31"/>
      <c r="JUE19" s="31"/>
      <c r="JUF19" s="31"/>
      <c r="JUG19" s="31"/>
      <c r="JUH19" s="31"/>
      <c r="JUI19" s="31"/>
      <c r="JUX19" s="33"/>
      <c r="JUY19" s="31"/>
      <c r="JUZ19" s="31"/>
      <c r="JVA19" s="48"/>
      <c r="JVB19" s="31"/>
      <c r="JVC19" s="31"/>
      <c r="JVD19" s="31"/>
      <c r="JVE19" s="31"/>
      <c r="JVF19" s="31"/>
      <c r="JVG19" s="31"/>
      <c r="JVH19" s="31"/>
      <c r="JVI19" s="31"/>
      <c r="JVJ19" s="31"/>
      <c r="JVK19" s="31"/>
      <c r="JVL19" s="31"/>
      <c r="JVM19" s="31"/>
      <c r="JVN19" s="31"/>
      <c r="JVO19" s="31"/>
      <c r="JWD19" s="33"/>
      <c r="JWE19" s="31"/>
      <c r="JWF19" s="31"/>
      <c r="JWG19" s="48"/>
      <c r="JWH19" s="31"/>
      <c r="JWI19" s="31"/>
      <c r="JWJ19" s="31"/>
      <c r="JWK19" s="31"/>
      <c r="JWL19" s="31"/>
      <c r="JWM19" s="31"/>
      <c r="JWN19" s="31"/>
      <c r="JWO19" s="31"/>
      <c r="JWP19" s="31"/>
      <c r="JWQ19" s="31"/>
      <c r="JWR19" s="31"/>
      <c r="JWS19" s="31"/>
      <c r="JWT19" s="31"/>
      <c r="JWU19" s="31"/>
      <c r="JXJ19" s="33"/>
      <c r="JXK19" s="31"/>
      <c r="JXL19" s="31"/>
      <c r="JXM19" s="48"/>
      <c r="JXN19" s="31"/>
      <c r="JXO19" s="31"/>
      <c r="JXP19" s="31"/>
      <c r="JXQ19" s="31"/>
      <c r="JXR19" s="31"/>
      <c r="JXS19" s="31"/>
      <c r="JXT19" s="31"/>
      <c r="JXU19" s="31"/>
      <c r="JXV19" s="31"/>
      <c r="JXW19" s="31"/>
      <c r="JXX19" s="31"/>
      <c r="JXY19" s="31"/>
      <c r="JXZ19" s="31"/>
      <c r="JYA19" s="31"/>
      <c r="JYP19" s="33"/>
      <c r="JYQ19" s="31"/>
      <c r="JYR19" s="31"/>
      <c r="JYS19" s="48"/>
      <c r="JYT19" s="31"/>
      <c r="JYU19" s="31"/>
      <c r="JYV19" s="31"/>
      <c r="JYW19" s="31"/>
      <c r="JYX19" s="31"/>
      <c r="JYY19" s="31"/>
      <c r="JYZ19" s="31"/>
      <c r="JZA19" s="31"/>
      <c r="JZB19" s="31"/>
      <c r="JZC19" s="31"/>
      <c r="JZD19" s="31"/>
      <c r="JZE19" s="31"/>
      <c r="JZF19" s="31"/>
      <c r="JZG19" s="31"/>
      <c r="JZV19" s="33"/>
      <c r="JZW19" s="31"/>
      <c r="JZX19" s="31"/>
      <c r="JZY19" s="48"/>
      <c r="JZZ19" s="31"/>
      <c r="KAA19" s="31"/>
      <c r="KAB19" s="31"/>
      <c r="KAC19" s="31"/>
      <c r="KAD19" s="31"/>
      <c r="KAE19" s="31"/>
      <c r="KAF19" s="31"/>
      <c r="KAG19" s="31"/>
      <c r="KAH19" s="31"/>
      <c r="KAI19" s="31"/>
      <c r="KAJ19" s="31"/>
      <c r="KAK19" s="31"/>
      <c r="KAL19" s="31"/>
      <c r="KAM19" s="31"/>
      <c r="KBB19" s="33"/>
      <c r="KBC19" s="31"/>
      <c r="KBD19" s="31"/>
      <c r="KBE19" s="48"/>
      <c r="KBF19" s="31"/>
      <c r="KBG19" s="31"/>
      <c r="KBH19" s="31"/>
      <c r="KBI19" s="31"/>
      <c r="KBJ19" s="31"/>
      <c r="KBK19" s="31"/>
      <c r="KBL19" s="31"/>
      <c r="KBM19" s="31"/>
      <c r="KBN19" s="31"/>
      <c r="KBO19" s="31"/>
      <c r="KBP19" s="31"/>
      <c r="KBQ19" s="31"/>
      <c r="KBR19" s="31"/>
      <c r="KBS19" s="31"/>
      <c r="KCH19" s="33"/>
      <c r="KCI19" s="31"/>
      <c r="KCJ19" s="31"/>
      <c r="KCK19" s="48"/>
      <c r="KCL19" s="31"/>
      <c r="KCM19" s="31"/>
      <c r="KCN19" s="31"/>
      <c r="KCO19" s="31"/>
      <c r="KCP19" s="31"/>
      <c r="KCQ19" s="31"/>
      <c r="KCR19" s="31"/>
      <c r="KCS19" s="31"/>
      <c r="KCT19" s="31"/>
      <c r="KCU19" s="31"/>
      <c r="KCV19" s="31"/>
      <c r="KCW19" s="31"/>
      <c r="KCX19" s="31"/>
      <c r="KCY19" s="31"/>
      <c r="KDN19" s="33"/>
      <c r="KDO19" s="31"/>
      <c r="KDP19" s="31"/>
      <c r="KDQ19" s="48"/>
      <c r="KDR19" s="31"/>
      <c r="KDS19" s="31"/>
      <c r="KDT19" s="31"/>
      <c r="KDU19" s="31"/>
      <c r="KDV19" s="31"/>
      <c r="KDW19" s="31"/>
      <c r="KDX19" s="31"/>
      <c r="KDY19" s="31"/>
      <c r="KDZ19" s="31"/>
      <c r="KEA19" s="31"/>
      <c r="KEB19" s="31"/>
      <c r="KEC19" s="31"/>
      <c r="KED19" s="31"/>
      <c r="KEE19" s="31"/>
      <c r="KET19" s="33"/>
      <c r="KEU19" s="31"/>
      <c r="KEV19" s="31"/>
      <c r="KEW19" s="48"/>
      <c r="KEX19" s="31"/>
      <c r="KEY19" s="31"/>
      <c r="KEZ19" s="31"/>
      <c r="KFA19" s="31"/>
      <c r="KFB19" s="31"/>
      <c r="KFC19" s="31"/>
      <c r="KFD19" s="31"/>
      <c r="KFE19" s="31"/>
      <c r="KFF19" s="31"/>
      <c r="KFG19" s="31"/>
      <c r="KFH19" s="31"/>
      <c r="KFI19" s="31"/>
      <c r="KFJ19" s="31"/>
      <c r="KFK19" s="31"/>
      <c r="KFZ19" s="33"/>
      <c r="KGA19" s="31"/>
      <c r="KGB19" s="31"/>
      <c r="KGC19" s="48"/>
      <c r="KGD19" s="31"/>
      <c r="KGE19" s="31"/>
      <c r="KGF19" s="31"/>
      <c r="KGG19" s="31"/>
      <c r="KGH19" s="31"/>
      <c r="KGI19" s="31"/>
      <c r="KGJ19" s="31"/>
      <c r="KGK19" s="31"/>
      <c r="KGL19" s="31"/>
      <c r="KGM19" s="31"/>
      <c r="KGN19" s="31"/>
      <c r="KGO19" s="31"/>
      <c r="KGP19" s="31"/>
      <c r="KGQ19" s="31"/>
      <c r="KHF19" s="33"/>
      <c r="KHG19" s="31"/>
      <c r="KHH19" s="31"/>
      <c r="KHI19" s="48"/>
      <c r="KHJ19" s="31"/>
      <c r="KHK19" s="31"/>
      <c r="KHL19" s="31"/>
      <c r="KHM19" s="31"/>
      <c r="KHN19" s="31"/>
      <c r="KHO19" s="31"/>
      <c r="KHP19" s="31"/>
      <c r="KHQ19" s="31"/>
      <c r="KHR19" s="31"/>
      <c r="KHS19" s="31"/>
      <c r="KHT19" s="31"/>
      <c r="KHU19" s="31"/>
      <c r="KHV19" s="31"/>
      <c r="KHW19" s="31"/>
      <c r="KIL19" s="33"/>
      <c r="KIM19" s="31"/>
      <c r="KIN19" s="31"/>
      <c r="KIO19" s="48"/>
      <c r="KIP19" s="31"/>
      <c r="KIQ19" s="31"/>
      <c r="KIR19" s="31"/>
      <c r="KIS19" s="31"/>
      <c r="KIT19" s="31"/>
      <c r="KIU19" s="31"/>
      <c r="KIV19" s="31"/>
      <c r="KIW19" s="31"/>
      <c r="KIX19" s="31"/>
      <c r="KIY19" s="31"/>
      <c r="KIZ19" s="31"/>
      <c r="KJA19" s="31"/>
      <c r="KJB19" s="31"/>
      <c r="KJC19" s="31"/>
      <c r="KJR19" s="33"/>
      <c r="KJS19" s="31"/>
      <c r="KJT19" s="31"/>
      <c r="KJU19" s="48"/>
      <c r="KJV19" s="31"/>
      <c r="KJW19" s="31"/>
      <c r="KJX19" s="31"/>
      <c r="KJY19" s="31"/>
      <c r="KJZ19" s="31"/>
      <c r="KKA19" s="31"/>
      <c r="KKB19" s="31"/>
      <c r="KKC19" s="31"/>
      <c r="KKD19" s="31"/>
      <c r="KKE19" s="31"/>
      <c r="KKF19" s="31"/>
      <c r="KKG19" s="31"/>
      <c r="KKH19" s="31"/>
      <c r="KKI19" s="31"/>
      <c r="KKX19" s="33"/>
      <c r="KKY19" s="31"/>
      <c r="KKZ19" s="31"/>
      <c r="KLA19" s="48"/>
      <c r="KLB19" s="31"/>
      <c r="KLC19" s="31"/>
      <c r="KLD19" s="31"/>
      <c r="KLE19" s="31"/>
      <c r="KLF19" s="31"/>
      <c r="KLG19" s="31"/>
      <c r="KLH19" s="31"/>
      <c r="KLI19" s="31"/>
      <c r="KLJ19" s="31"/>
      <c r="KLK19" s="31"/>
      <c r="KLL19" s="31"/>
      <c r="KLM19" s="31"/>
      <c r="KLN19" s="31"/>
      <c r="KLO19" s="31"/>
      <c r="KMD19" s="33"/>
      <c r="KME19" s="31"/>
      <c r="KMF19" s="31"/>
      <c r="KMG19" s="48"/>
      <c r="KMH19" s="31"/>
      <c r="KMI19" s="31"/>
      <c r="KMJ19" s="31"/>
      <c r="KMK19" s="31"/>
      <c r="KML19" s="31"/>
      <c r="KMM19" s="31"/>
      <c r="KMN19" s="31"/>
      <c r="KMO19" s="31"/>
      <c r="KMP19" s="31"/>
      <c r="KMQ19" s="31"/>
      <c r="KMR19" s="31"/>
      <c r="KMS19" s="31"/>
      <c r="KMT19" s="31"/>
      <c r="KMU19" s="31"/>
      <c r="KNJ19" s="33"/>
      <c r="KNK19" s="31"/>
      <c r="KNL19" s="31"/>
      <c r="KNM19" s="48"/>
      <c r="KNN19" s="31"/>
      <c r="KNO19" s="31"/>
      <c r="KNP19" s="31"/>
      <c r="KNQ19" s="31"/>
      <c r="KNR19" s="31"/>
      <c r="KNS19" s="31"/>
      <c r="KNT19" s="31"/>
      <c r="KNU19" s="31"/>
      <c r="KNV19" s="31"/>
      <c r="KNW19" s="31"/>
      <c r="KNX19" s="31"/>
      <c r="KNY19" s="31"/>
      <c r="KNZ19" s="31"/>
      <c r="KOA19" s="31"/>
      <c r="KOP19" s="33"/>
      <c r="KOQ19" s="31"/>
      <c r="KOR19" s="31"/>
      <c r="KOS19" s="48"/>
      <c r="KOT19" s="31"/>
      <c r="KOU19" s="31"/>
      <c r="KOV19" s="31"/>
      <c r="KOW19" s="31"/>
      <c r="KOX19" s="31"/>
      <c r="KOY19" s="31"/>
      <c r="KOZ19" s="31"/>
      <c r="KPA19" s="31"/>
      <c r="KPB19" s="31"/>
      <c r="KPC19" s="31"/>
      <c r="KPD19" s="31"/>
      <c r="KPE19" s="31"/>
      <c r="KPF19" s="31"/>
      <c r="KPG19" s="31"/>
      <c r="KPV19" s="33"/>
      <c r="KPW19" s="31"/>
      <c r="KPX19" s="31"/>
      <c r="KPY19" s="48"/>
      <c r="KPZ19" s="31"/>
      <c r="KQA19" s="31"/>
      <c r="KQB19" s="31"/>
      <c r="KQC19" s="31"/>
      <c r="KQD19" s="31"/>
      <c r="KQE19" s="31"/>
      <c r="KQF19" s="31"/>
      <c r="KQG19" s="31"/>
      <c r="KQH19" s="31"/>
      <c r="KQI19" s="31"/>
      <c r="KQJ19" s="31"/>
      <c r="KQK19" s="31"/>
      <c r="KQL19" s="31"/>
      <c r="KQM19" s="31"/>
      <c r="KRB19" s="33"/>
      <c r="KRC19" s="31"/>
      <c r="KRD19" s="31"/>
      <c r="KRE19" s="48"/>
      <c r="KRF19" s="31"/>
      <c r="KRG19" s="31"/>
      <c r="KRH19" s="31"/>
      <c r="KRI19" s="31"/>
      <c r="KRJ19" s="31"/>
      <c r="KRK19" s="31"/>
      <c r="KRL19" s="31"/>
      <c r="KRM19" s="31"/>
      <c r="KRN19" s="31"/>
      <c r="KRO19" s="31"/>
      <c r="KRP19" s="31"/>
      <c r="KRQ19" s="31"/>
      <c r="KRR19" s="31"/>
      <c r="KRS19" s="31"/>
      <c r="KSH19" s="33"/>
      <c r="KSI19" s="31"/>
      <c r="KSJ19" s="31"/>
      <c r="KSK19" s="48"/>
      <c r="KSL19" s="31"/>
      <c r="KSM19" s="31"/>
      <c r="KSN19" s="31"/>
      <c r="KSO19" s="31"/>
      <c r="KSP19" s="31"/>
      <c r="KSQ19" s="31"/>
      <c r="KSR19" s="31"/>
      <c r="KSS19" s="31"/>
      <c r="KST19" s="31"/>
      <c r="KSU19" s="31"/>
      <c r="KSV19" s="31"/>
      <c r="KSW19" s="31"/>
      <c r="KSX19" s="31"/>
      <c r="KSY19" s="31"/>
      <c r="KTN19" s="33"/>
      <c r="KTO19" s="31"/>
      <c r="KTP19" s="31"/>
      <c r="KTQ19" s="48"/>
      <c r="KTR19" s="31"/>
      <c r="KTS19" s="31"/>
      <c r="KTT19" s="31"/>
      <c r="KTU19" s="31"/>
      <c r="KTV19" s="31"/>
      <c r="KTW19" s="31"/>
      <c r="KTX19" s="31"/>
      <c r="KTY19" s="31"/>
      <c r="KTZ19" s="31"/>
      <c r="KUA19" s="31"/>
      <c r="KUB19" s="31"/>
      <c r="KUC19" s="31"/>
      <c r="KUD19" s="31"/>
      <c r="KUE19" s="31"/>
      <c r="KUT19" s="33"/>
      <c r="KUU19" s="31"/>
      <c r="KUV19" s="31"/>
      <c r="KUW19" s="48"/>
      <c r="KUX19" s="31"/>
      <c r="KUY19" s="31"/>
      <c r="KUZ19" s="31"/>
      <c r="KVA19" s="31"/>
      <c r="KVB19" s="31"/>
      <c r="KVC19" s="31"/>
      <c r="KVD19" s="31"/>
      <c r="KVE19" s="31"/>
      <c r="KVF19" s="31"/>
      <c r="KVG19" s="31"/>
      <c r="KVH19" s="31"/>
      <c r="KVI19" s="31"/>
      <c r="KVJ19" s="31"/>
      <c r="KVK19" s="31"/>
      <c r="KVZ19" s="33"/>
      <c r="KWA19" s="31"/>
      <c r="KWB19" s="31"/>
      <c r="KWC19" s="48"/>
      <c r="KWD19" s="31"/>
      <c r="KWE19" s="31"/>
      <c r="KWF19" s="31"/>
      <c r="KWG19" s="31"/>
      <c r="KWH19" s="31"/>
      <c r="KWI19" s="31"/>
      <c r="KWJ19" s="31"/>
      <c r="KWK19" s="31"/>
      <c r="KWL19" s="31"/>
      <c r="KWM19" s="31"/>
      <c r="KWN19" s="31"/>
      <c r="KWO19" s="31"/>
      <c r="KWP19" s="31"/>
      <c r="KWQ19" s="31"/>
      <c r="KXF19" s="33"/>
      <c r="KXG19" s="31"/>
      <c r="KXH19" s="31"/>
      <c r="KXI19" s="48"/>
      <c r="KXJ19" s="31"/>
      <c r="KXK19" s="31"/>
      <c r="KXL19" s="31"/>
      <c r="KXM19" s="31"/>
      <c r="KXN19" s="31"/>
      <c r="KXO19" s="31"/>
      <c r="KXP19" s="31"/>
      <c r="KXQ19" s="31"/>
      <c r="KXR19" s="31"/>
      <c r="KXS19" s="31"/>
      <c r="KXT19" s="31"/>
      <c r="KXU19" s="31"/>
      <c r="KXV19" s="31"/>
      <c r="KXW19" s="31"/>
      <c r="KYL19" s="33"/>
      <c r="KYM19" s="31"/>
      <c r="KYN19" s="31"/>
      <c r="KYO19" s="48"/>
      <c r="KYP19" s="31"/>
      <c r="KYQ19" s="31"/>
      <c r="KYR19" s="31"/>
      <c r="KYS19" s="31"/>
      <c r="KYT19" s="31"/>
      <c r="KYU19" s="31"/>
      <c r="KYV19" s="31"/>
      <c r="KYW19" s="31"/>
      <c r="KYX19" s="31"/>
      <c r="KYY19" s="31"/>
      <c r="KYZ19" s="31"/>
      <c r="KZA19" s="31"/>
      <c r="KZB19" s="31"/>
      <c r="KZC19" s="31"/>
      <c r="KZR19" s="33"/>
      <c r="KZS19" s="31"/>
      <c r="KZT19" s="31"/>
      <c r="KZU19" s="48"/>
      <c r="KZV19" s="31"/>
      <c r="KZW19" s="31"/>
      <c r="KZX19" s="31"/>
      <c r="KZY19" s="31"/>
      <c r="KZZ19" s="31"/>
      <c r="LAA19" s="31"/>
      <c r="LAB19" s="31"/>
      <c r="LAC19" s="31"/>
      <c r="LAD19" s="31"/>
      <c r="LAE19" s="31"/>
      <c r="LAF19" s="31"/>
      <c r="LAG19" s="31"/>
      <c r="LAH19" s="31"/>
      <c r="LAI19" s="31"/>
      <c r="LAX19" s="33"/>
      <c r="LAY19" s="31"/>
      <c r="LAZ19" s="31"/>
      <c r="LBA19" s="48"/>
      <c r="LBB19" s="31"/>
      <c r="LBC19" s="31"/>
      <c r="LBD19" s="31"/>
      <c r="LBE19" s="31"/>
      <c r="LBF19" s="31"/>
      <c r="LBG19" s="31"/>
      <c r="LBH19" s="31"/>
      <c r="LBI19" s="31"/>
      <c r="LBJ19" s="31"/>
      <c r="LBK19" s="31"/>
      <c r="LBL19" s="31"/>
      <c r="LBM19" s="31"/>
      <c r="LBN19" s="31"/>
      <c r="LBO19" s="31"/>
      <c r="LCD19" s="33"/>
      <c r="LCE19" s="31"/>
      <c r="LCF19" s="31"/>
      <c r="LCG19" s="48"/>
      <c r="LCH19" s="31"/>
      <c r="LCI19" s="31"/>
      <c r="LCJ19" s="31"/>
      <c r="LCK19" s="31"/>
      <c r="LCL19" s="31"/>
      <c r="LCM19" s="31"/>
      <c r="LCN19" s="31"/>
      <c r="LCO19" s="31"/>
      <c r="LCP19" s="31"/>
      <c r="LCQ19" s="31"/>
      <c r="LCR19" s="31"/>
      <c r="LCS19" s="31"/>
      <c r="LCT19" s="31"/>
      <c r="LCU19" s="31"/>
      <c r="LDJ19" s="33"/>
      <c r="LDK19" s="31"/>
      <c r="LDL19" s="31"/>
      <c r="LDM19" s="48"/>
      <c r="LDN19" s="31"/>
      <c r="LDO19" s="31"/>
      <c r="LDP19" s="31"/>
      <c r="LDQ19" s="31"/>
      <c r="LDR19" s="31"/>
      <c r="LDS19" s="31"/>
      <c r="LDT19" s="31"/>
      <c r="LDU19" s="31"/>
      <c r="LDV19" s="31"/>
      <c r="LDW19" s="31"/>
      <c r="LDX19" s="31"/>
      <c r="LDY19" s="31"/>
      <c r="LDZ19" s="31"/>
      <c r="LEA19" s="31"/>
      <c r="LEP19" s="33"/>
      <c r="LEQ19" s="31"/>
      <c r="LER19" s="31"/>
      <c r="LES19" s="48"/>
      <c r="LET19" s="31"/>
      <c r="LEU19" s="31"/>
      <c r="LEV19" s="31"/>
      <c r="LEW19" s="31"/>
      <c r="LEX19" s="31"/>
      <c r="LEY19" s="31"/>
      <c r="LEZ19" s="31"/>
      <c r="LFA19" s="31"/>
      <c r="LFB19" s="31"/>
      <c r="LFC19" s="31"/>
      <c r="LFD19" s="31"/>
      <c r="LFE19" s="31"/>
      <c r="LFF19" s="31"/>
      <c r="LFG19" s="31"/>
      <c r="LFV19" s="33"/>
      <c r="LFW19" s="31"/>
      <c r="LFX19" s="31"/>
      <c r="LFY19" s="48"/>
      <c r="LFZ19" s="31"/>
      <c r="LGA19" s="31"/>
      <c r="LGB19" s="31"/>
      <c r="LGC19" s="31"/>
      <c r="LGD19" s="31"/>
      <c r="LGE19" s="31"/>
      <c r="LGF19" s="31"/>
      <c r="LGG19" s="31"/>
      <c r="LGH19" s="31"/>
      <c r="LGI19" s="31"/>
      <c r="LGJ19" s="31"/>
      <c r="LGK19" s="31"/>
      <c r="LGL19" s="31"/>
      <c r="LGM19" s="31"/>
      <c r="LHB19" s="33"/>
      <c r="LHC19" s="31"/>
      <c r="LHD19" s="31"/>
      <c r="LHE19" s="48"/>
      <c r="LHF19" s="31"/>
      <c r="LHG19" s="31"/>
      <c r="LHH19" s="31"/>
      <c r="LHI19" s="31"/>
      <c r="LHJ19" s="31"/>
      <c r="LHK19" s="31"/>
      <c r="LHL19" s="31"/>
      <c r="LHM19" s="31"/>
      <c r="LHN19" s="31"/>
      <c r="LHO19" s="31"/>
      <c r="LHP19" s="31"/>
      <c r="LHQ19" s="31"/>
      <c r="LHR19" s="31"/>
      <c r="LHS19" s="31"/>
      <c r="LIH19" s="33"/>
      <c r="LII19" s="31"/>
      <c r="LIJ19" s="31"/>
      <c r="LIK19" s="48"/>
      <c r="LIL19" s="31"/>
      <c r="LIM19" s="31"/>
      <c r="LIN19" s="31"/>
      <c r="LIO19" s="31"/>
      <c r="LIP19" s="31"/>
      <c r="LIQ19" s="31"/>
      <c r="LIR19" s="31"/>
      <c r="LIS19" s="31"/>
      <c r="LIT19" s="31"/>
      <c r="LIU19" s="31"/>
      <c r="LIV19" s="31"/>
      <c r="LIW19" s="31"/>
      <c r="LIX19" s="31"/>
      <c r="LIY19" s="31"/>
      <c r="LJN19" s="33"/>
      <c r="LJO19" s="31"/>
      <c r="LJP19" s="31"/>
      <c r="LJQ19" s="48"/>
      <c r="LJR19" s="31"/>
      <c r="LJS19" s="31"/>
      <c r="LJT19" s="31"/>
      <c r="LJU19" s="31"/>
      <c r="LJV19" s="31"/>
      <c r="LJW19" s="31"/>
      <c r="LJX19" s="31"/>
      <c r="LJY19" s="31"/>
      <c r="LJZ19" s="31"/>
      <c r="LKA19" s="31"/>
      <c r="LKB19" s="31"/>
      <c r="LKC19" s="31"/>
      <c r="LKD19" s="31"/>
      <c r="LKE19" s="31"/>
      <c r="LKT19" s="33"/>
      <c r="LKU19" s="31"/>
      <c r="LKV19" s="31"/>
      <c r="LKW19" s="48"/>
      <c r="LKX19" s="31"/>
      <c r="LKY19" s="31"/>
      <c r="LKZ19" s="31"/>
      <c r="LLA19" s="31"/>
      <c r="LLB19" s="31"/>
      <c r="LLC19" s="31"/>
      <c r="LLD19" s="31"/>
      <c r="LLE19" s="31"/>
      <c r="LLF19" s="31"/>
      <c r="LLG19" s="31"/>
      <c r="LLH19" s="31"/>
      <c r="LLI19" s="31"/>
      <c r="LLJ19" s="31"/>
      <c r="LLK19" s="31"/>
      <c r="LLZ19" s="33"/>
      <c r="LMA19" s="31"/>
      <c r="LMB19" s="31"/>
      <c r="LMC19" s="48"/>
      <c r="LMD19" s="31"/>
      <c r="LME19" s="31"/>
      <c r="LMF19" s="31"/>
      <c r="LMG19" s="31"/>
      <c r="LMH19" s="31"/>
      <c r="LMI19" s="31"/>
      <c r="LMJ19" s="31"/>
      <c r="LMK19" s="31"/>
      <c r="LML19" s="31"/>
      <c r="LMM19" s="31"/>
      <c r="LMN19" s="31"/>
      <c r="LMO19" s="31"/>
      <c r="LMP19" s="31"/>
      <c r="LMQ19" s="31"/>
      <c r="LNF19" s="33"/>
      <c r="LNG19" s="31"/>
      <c r="LNH19" s="31"/>
      <c r="LNI19" s="48"/>
      <c r="LNJ19" s="31"/>
      <c r="LNK19" s="31"/>
      <c r="LNL19" s="31"/>
      <c r="LNM19" s="31"/>
      <c r="LNN19" s="31"/>
      <c r="LNO19" s="31"/>
      <c r="LNP19" s="31"/>
      <c r="LNQ19" s="31"/>
      <c r="LNR19" s="31"/>
      <c r="LNS19" s="31"/>
      <c r="LNT19" s="31"/>
      <c r="LNU19" s="31"/>
      <c r="LNV19" s="31"/>
      <c r="LNW19" s="31"/>
      <c r="LOL19" s="33"/>
      <c r="LOM19" s="31"/>
      <c r="LON19" s="31"/>
      <c r="LOO19" s="48"/>
      <c r="LOP19" s="31"/>
      <c r="LOQ19" s="31"/>
      <c r="LOR19" s="31"/>
      <c r="LOS19" s="31"/>
      <c r="LOT19" s="31"/>
      <c r="LOU19" s="31"/>
      <c r="LOV19" s="31"/>
      <c r="LOW19" s="31"/>
      <c r="LOX19" s="31"/>
      <c r="LOY19" s="31"/>
      <c r="LOZ19" s="31"/>
      <c r="LPA19" s="31"/>
      <c r="LPB19" s="31"/>
      <c r="LPC19" s="31"/>
      <c r="LPR19" s="33"/>
      <c r="LPS19" s="31"/>
      <c r="LPT19" s="31"/>
      <c r="LPU19" s="48"/>
      <c r="LPV19" s="31"/>
      <c r="LPW19" s="31"/>
      <c r="LPX19" s="31"/>
      <c r="LPY19" s="31"/>
      <c r="LPZ19" s="31"/>
      <c r="LQA19" s="31"/>
      <c r="LQB19" s="31"/>
      <c r="LQC19" s="31"/>
      <c r="LQD19" s="31"/>
      <c r="LQE19" s="31"/>
      <c r="LQF19" s="31"/>
      <c r="LQG19" s="31"/>
      <c r="LQH19" s="31"/>
      <c r="LQI19" s="31"/>
      <c r="LQX19" s="33"/>
      <c r="LQY19" s="31"/>
      <c r="LQZ19" s="31"/>
      <c r="LRA19" s="48"/>
      <c r="LRB19" s="31"/>
      <c r="LRC19" s="31"/>
      <c r="LRD19" s="31"/>
      <c r="LRE19" s="31"/>
      <c r="LRF19" s="31"/>
      <c r="LRG19" s="31"/>
      <c r="LRH19" s="31"/>
      <c r="LRI19" s="31"/>
      <c r="LRJ19" s="31"/>
      <c r="LRK19" s="31"/>
      <c r="LRL19" s="31"/>
      <c r="LRM19" s="31"/>
      <c r="LRN19" s="31"/>
      <c r="LRO19" s="31"/>
      <c r="LSD19" s="33"/>
      <c r="LSE19" s="31"/>
      <c r="LSF19" s="31"/>
      <c r="LSG19" s="48"/>
      <c r="LSH19" s="31"/>
      <c r="LSI19" s="31"/>
      <c r="LSJ19" s="31"/>
      <c r="LSK19" s="31"/>
      <c r="LSL19" s="31"/>
      <c r="LSM19" s="31"/>
      <c r="LSN19" s="31"/>
      <c r="LSO19" s="31"/>
      <c r="LSP19" s="31"/>
      <c r="LSQ19" s="31"/>
      <c r="LSR19" s="31"/>
      <c r="LSS19" s="31"/>
      <c r="LST19" s="31"/>
      <c r="LSU19" s="31"/>
      <c r="LTJ19" s="33"/>
      <c r="LTK19" s="31"/>
      <c r="LTL19" s="31"/>
      <c r="LTM19" s="48"/>
      <c r="LTN19" s="31"/>
      <c r="LTO19" s="31"/>
      <c r="LTP19" s="31"/>
      <c r="LTQ19" s="31"/>
      <c r="LTR19" s="31"/>
      <c r="LTS19" s="31"/>
      <c r="LTT19" s="31"/>
      <c r="LTU19" s="31"/>
      <c r="LTV19" s="31"/>
      <c r="LTW19" s="31"/>
      <c r="LTX19" s="31"/>
      <c r="LTY19" s="31"/>
      <c r="LTZ19" s="31"/>
      <c r="LUA19" s="31"/>
      <c r="LUP19" s="33"/>
      <c r="LUQ19" s="31"/>
      <c r="LUR19" s="31"/>
      <c r="LUS19" s="48"/>
      <c r="LUT19" s="31"/>
      <c r="LUU19" s="31"/>
      <c r="LUV19" s="31"/>
      <c r="LUW19" s="31"/>
      <c r="LUX19" s="31"/>
      <c r="LUY19" s="31"/>
      <c r="LUZ19" s="31"/>
      <c r="LVA19" s="31"/>
      <c r="LVB19" s="31"/>
      <c r="LVC19" s="31"/>
      <c r="LVD19" s="31"/>
      <c r="LVE19" s="31"/>
      <c r="LVF19" s="31"/>
      <c r="LVG19" s="31"/>
      <c r="LVV19" s="33"/>
      <c r="LVW19" s="31"/>
      <c r="LVX19" s="31"/>
      <c r="LVY19" s="48"/>
      <c r="LVZ19" s="31"/>
      <c r="LWA19" s="31"/>
      <c r="LWB19" s="31"/>
      <c r="LWC19" s="31"/>
      <c r="LWD19" s="31"/>
      <c r="LWE19" s="31"/>
      <c r="LWF19" s="31"/>
      <c r="LWG19" s="31"/>
      <c r="LWH19" s="31"/>
      <c r="LWI19" s="31"/>
      <c r="LWJ19" s="31"/>
      <c r="LWK19" s="31"/>
      <c r="LWL19" s="31"/>
      <c r="LWM19" s="31"/>
      <c r="LXB19" s="33"/>
      <c r="LXC19" s="31"/>
      <c r="LXD19" s="31"/>
      <c r="LXE19" s="48"/>
      <c r="LXF19" s="31"/>
      <c r="LXG19" s="31"/>
      <c r="LXH19" s="31"/>
      <c r="LXI19" s="31"/>
      <c r="LXJ19" s="31"/>
      <c r="LXK19" s="31"/>
      <c r="LXL19" s="31"/>
      <c r="LXM19" s="31"/>
      <c r="LXN19" s="31"/>
      <c r="LXO19" s="31"/>
      <c r="LXP19" s="31"/>
      <c r="LXQ19" s="31"/>
      <c r="LXR19" s="31"/>
      <c r="LXS19" s="31"/>
      <c r="LYH19" s="33"/>
      <c r="LYI19" s="31"/>
      <c r="LYJ19" s="31"/>
      <c r="LYK19" s="48"/>
      <c r="LYL19" s="31"/>
      <c r="LYM19" s="31"/>
      <c r="LYN19" s="31"/>
      <c r="LYO19" s="31"/>
      <c r="LYP19" s="31"/>
      <c r="LYQ19" s="31"/>
      <c r="LYR19" s="31"/>
      <c r="LYS19" s="31"/>
      <c r="LYT19" s="31"/>
      <c r="LYU19" s="31"/>
      <c r="LYV19" s="31"/>
      <c r="LYW19" s="31"/>
      <c r="LYX19" s="31"/>
      <c r="LYY19" s="31"/>
      <c r="LZN19" s="33"/>
      <c r="LZO19" s="31"/>
      <c r="LZP19" s="31"/>
      <c r="LZQ19" s="48"/>
      <c r="LZR19" s="31"/>
      <c r="LZS19" s="31"/>
      <c r="LZT19" s="31"/>
      <c r="LZU19" s="31"/>
      <c r="LZV19" s="31"/>
      <c r="LZW19" s="31"/>
      <c r="LZX19" s="31"/>
      <c r="LZY19" s="31"/>
      <c r="LZZ19" s="31"/>
      <c r="MAA19" s="31"/>
      <c r="MAB19" s="31"/>
      <c r="MAC19" s="31"/>
      <c r="MAD19" s="31"/>
      <c r="MAE19" s="31"/>
      <c r="MAT19" s="33"/>
      <c r="MAU19" s="31"/>
      <c r="MAV19" s="31"/>
      <c r="MAW19" s="48"/>
      <c r="MAX19" s="31"/>
      <c r="MAY19" s="31"/>
      <c r="MAZ19" s="31"/>
      <c r="MBA19" s="31"/>
      <c r="MBB19" s="31"/>
      <c r="MBC19" s="31"/>
      <c r="MBD19" s="31"/>
      <c r="MBE19" s="31"/>
      <c r="MBF19" s="31"/>
      <c r="MBG19" s="31"/>
      <c r="MBH19" s="31"/>
      <c r="MBI19" s="31"/>
      <c r="MBJ19" s="31"/>
      <c r="MBK19" s="31"/>
      <c r="MBZ19" s="33"/>
      <c r="MCA19" s="31"/>
      <c r="MCB19" s="31"/>
      <c r="MCC19" s="48"/>
      <c r="MCD19" s="31"/>
      <c r="MCE19" s="31"/>
      <c r="MCF19" s="31"/>
      <c r="MCG19" s="31"/>
      <c r="MCH19" s="31"/>
      <c r="MCI19" s="31"/>
      <c r="MCJ19" s="31"/>
      <c r="MCK19" s="31"/>
      <c r="MCL19" s="31"/>
      <c r="MCM19" s="31"/>
      <c r="MCN19" s="31"/>
      <c r="MCO19" s="31"/>
      <c r="MCP19" s="31"/>
      <c r="MCQ19" s="31"/>
      <c r="MDF19" s="33"/>
      <c r="MDG19" s="31"/>
      <c r="MDH19" s="31"/>
      <c r="MDI19" s="48"/>
      <c r="MDJ19" s="31"/>
      <c r="MDK19" s="31"/>
      <c r="MDL19" s="31"/>
      <c r="MDM19" s="31"/>
      <c r="MDN19" s="31"/>
      <c r="MDO19" s="31"/>
      <c r="MDP19" s="31"/>
      <c r="MDQ19" s="31"/>
      <c r="MDR19" s="31"/>
      <c r="MDS19" s="31"/>
      <c r="MDT19" s="31"/>
      <c r="MDU19" s="31"/>
      <c r="MDV19" s="31"/>
      <c r="MDW19" s="31"/>
      <c r="MEL19" s="33"/>
      <c r="MEM19" s="31"/>
      <c r="MEN19" s="31"/>
      <c r="MEO19" s="48"/>
      <c r="MEP19" s="31"/>
      <c r="MEQ19" s="31"/>
      <c r="MER19" s="31"/>
      <c r="MES19" s="31"/>
      <c r="MET19" s="31"/>
      <c r="MEU19" s="31"/>
      <c r="MEV19" s="31"/>
      <c r="MEW19" s="31"/>
      <c r="MEX19" s="31"/>
      <c r="MEY19" s="31"/>
      <c r="MEZ19" s="31"/>
      <c r="MFA19" s="31"/>
      <c r="MFB19" s="31"/>
      <c r="MFC19" s="31"/>
      <c r="MFR19" s="33"/>
      <c r="MFS19" s="31"/>
      <c r="MFT19" s="31"/>
      <c r="MFU19" s="48"/>
      <c r="MFV19" s="31"/>
      <c r="MFW19" s="31"/>
      <c r="MFX19" s="31"/>
      <c r="MFY19" s="31"/>
      <c r="MFZ19" s="31"/>
      <c r="MGA19" s="31"/>
      <c r="MGB19" s="31"/>
      <c r="MGC19" s="31"/>
      <c r="MGD19" s="31"/>
      <c r="MGE19" s="31"/>
      <c r="MGF19" s="31"/>
      <c r="MGG19" s="31"/>
      <c r="MGH19" s="31"/>
      <c r="MGI19" s="31"/>
      <c r="MGX19" s="33"/>
      <c r="MGY19" s="31"/>
      <c r="MGZ19" s="31"/>
      <c r="MHA19" s="48"/>
      <c r="MHB19" s="31"/>
      <c r="MHC19" s="31"/>
      <c r="MHD19" s="31"/>
      <c r="MHE19" s="31"/>
      <c r="MHF19" s="31"/>
      <c r="MHG19" s="31"/>
      <c r="MHH19" s="31"/>
      <c r="MHI19" s="31"/>
      <c r="MHJ19" s="31"/>
      <c r="MHK19" s="31"/>
      <c r="MHL19" s="31"/>
      <c r="MHM19" s="31"/>
      <c r="MHN19" s="31"/>
      <c r="MHO19" s="31"/>
      <c r="MID19" s="33"/>
      <c r="MIE19" s="31"/>
      <c r="MIF19" s="31"/>
      <c r="MIG19" s="48"/>
      <c r="MIH19" s="31"/>
      <c r="MII19" s="31"/>
      <c r="MIJ19" s="31"/>
      <c r="MIK19" s="31"/>
      <c r="MIL19" s="31"/>
      <c r="MIM19" s="31"/>
      <c r="MIN19" s="31"/>
      <c r="MIO19" s="31"/>
      <c r="MIP19" s="31"/>
      <c r="MIQ19" s="31"/>
      <c r="MIR19" s="31"/>
      <c r="MIS19" s="31"/>
      <c r="MIT19" s="31"/>
      <c r="MIU19" s="31"/>
      <c r="MJJ19" s="33"/>
      <c r="MJK19" s="31"/>
      <c r="MJL19" s="31"/>
      <c r="MJM19" s="48"/>
      <c r="MJN19" s="31"/>
      <c r="MJO19" s="31"/>
      <c r="MJP19" s="31"/>
      <c r="MJQ19" s="31"/>
      <c r="MJR19" s="31"/>
      <c r="MJS19" s="31"/>
      <c r="MJT19" s="31"/>
      <c r="MJU19" s="31"/>
      <c r="MJV19" s="31"/>
      <c r="MJW19" s="31"/>
      <c r="MJX19" s="31"/>
      <c r="MJY19" s="31"/>
      <c r="MJZ19" s="31"/>
      <c r="MKA19" s="31"/>
      <c r="MKP19" s="33"/>
      <c r="MKQ19" s="31"/>
      <c r="MKR19" s="31"/>
      <c r="MKS19" s="48"/>
      <c r="MKT19" s="31"/>
      <c r="MKU19" s="31"/>
      <c r="MKV19" s="31"/>
      <c r="MKW19" s="31"/>
      <c r="MKX19" s="31"/>
      <c r="MKY19" s="31"/>
      <c r="MKZ19" s="31"/>
      <c r="MLA19" s="31"/>
      <c r="MLB19" s="31"/>
      <c r="MLC19" s="31"/>
      <c r="MLD19" s="31"/>
      <c r="MLE19" s="31"/>
      <c r="MLF19" s="31"/>
      <c r="MLG19" s="31"/>
      <c r="MLV19" s="33"/>
      <c r="MLW19" s="31"/>
      <c r="MLX19" s="31"/>
      <c r="MLY19" s="48"/>
      <c r="MLZ19" s="31"/>
      <c r="MMA19" s="31"/>
      <c r="MMB19" s="31"/>
      <c r="MMC19" s="31"/>
      <c r="MMD19" s="31"/>
      <c r="MME19" s="31"/>
      <c r="MMF19" s="31"/>
      <c r="MMG19" s="31"/>
      <c r="MMH19" s="31"/>
      <c r="MMI19" s="31"/>
      <c r="MMJ19" s="31"/>
      <c r="MMK19" s="31"/>
      <c r="MML19" s="31"/>
      <c r="MMM19" s="31"/>
      <c r="MNB19" s="33"/>
      <c r="MNC19" s="31"/>
      <c r="MND19" s="31"/>
      <c r="MNE19" s="48"/>
      <c r="MNF19" s="31"/>
      <c r="MNG19" s="31"/>
      <c r="MNH19" s="31"/>
      <c r="MNI19" s="31"/>
      <c r="MNJ19" s="31"/>
      <c r="MNK19" s="31"/>
      <c r="MNL19" s="31"/>
      <c r="MNM19" s="31"/>
      <c r="MNN19" s="31"/>
      <c r="MNO19" s="31"/>
      <c r="MNP19" s="31"/>
      <c r="MNQ19" s="31"/>
      <c r="MNR19" s="31"/>
      <c r="MNS19" s="31"/>
      <c r="MOH19" s="33"/>
      <c r="MOI19" s="31"/>
      <c r="MOJ19" s="31"/>
      <c r="MOK19" s="48"/>
      <c r="MOL19" s="31"/>
      <c r="MOM19" s="31"/>
      <c r="MON19" s="31"/>
      <c r="MOO19" s="31"/>
      <c r="MOP19" s="31"/>
      <c r="MOQ19" s="31"/>
      <c r="MOR19" s="31"/>
      <c r="MOS19" s="31"/>
      <c r="MOT19" s="31"/>
      <c r="MOU19" s="31"/>
      <c r="MOV19" s="31"/>
      <c r="MOW19" s="31"/>
      <c r="MOX19" s="31"/>
      <c r="MOY19" s="31"/>
      <c r="MPN19" s="33"/>
      <c r="MPO19" s="31"/>
      <c r="MPP19" s="31"/>
      <c r="MPQ19" s="48"/>
      <c r="MPR19" s="31"/>
      <c r="MPS19" s="31"/>
      <c r="MPT19" s="31"/>
      <c r="MPU19" s="31"/>
      <c r="MPV19" s="31"/>
      <c r="MPW19" s="31"/>
      <c r="MPX19" s="31"/>
      <c r="MPY19" s="31"/>
      <c r="MPZ19" s="31"/>
      <c r="MQA19" s="31"/>
      <c r="MQB19" s="31"/>
      <c r="MQC19" s="31"/>
      <c r="MQD19" s="31"/>
      <c r="MQE19" s="31"/>
      <c r="MQT19" s="33"/>
      <c r="MQU19" s="31"/>
      <c r="MQV19" s="31"/>
      <c r="MQW19" s="48"/>
      <c r="MQX19" s="31"/>
      <c r="MQY19" s="31"/>
      <c r="MQZ19" s="31"/>
      <c r="MRA19" s="31"/>
      <c r="MRB19" s="31"/>
      <c r="MRC19" s="31"/>
      <c r="MRD19" s="31"/>
      <c r="MRE19" s="31"/>
      <c r="MRF19" s="31"/>
      <c r="MRG19" s="31"/>
      <c r="MRH19" s="31"/>
      <c r="MRI19" s="31"/>
      <c r="MRJ19" s="31"/>
      <c r="MRK19" s="31"/>
      <c r="MRZ19" s="33"/>
      <c r="MSA19" s="31"/>
      <c r="MSB19" s="31"/>
      <c r="MSC19" s="48"/>
      <c r="MSD19" s="31"/>
      <c r="MSE19" s="31"/>
      <c r="MSF19" s="31"/>
      <c r="MSG19" s="31"/>
      <c r="MSH19" s="31"/>
      <c r="MSI19" s="31"/>
      <c r="MSJ19" s="31"/>
      <c r="MSK19" s="31"/>
      <c r="MSL19" s="31"/>
      <c r="MSM19" s="31"/>
      <c r="MSN19" s="31"/>
      <c r="MSO19" s="31"/>
      <c r="MSP19" s="31"/>
      <c r="MSQ19" s="31"/>
      <c r="MTF19" s="33"/>
      <c r="MTG19" s="31"/>
      <c r="MTH19" s="31"/>
      <c r="MTI19" s="48"/>
      <c r="MTJ19" s="31"/>
      <c r="MTK19" s="31"/>
      <c r="MTL19" s="31"/>
      <c r="MTM19" s="31"/>
      <c r="MTN19" s="31"/>
      <c r="MTO19" s="31"/>
      <c r="MTP19" s="31"/>
      <c r="MTQ19" s="31"/>
      <c r="MTR19" s="31"/>
      <c r="MTS19" s="31"/>
      <c r="MTT19" s="31"/>
      <c r="MTU19" s="31"/>
      <c r="MTV19" s="31"/>
      <c r="MTW19" s="31"/>
      <c r="MUL19" s="33"/>
      <c r="MUM19" s="31"/>
      <c r="MUN19" s="31"/>
      <c r="MUO19" s="48"/>
      <c r="MUP19" s="31"/>
      <c r="MUQ19" s="31"/>
      <c r="MUR19" s="31"/>
      <c r="MUS19" s="31"/>
      <c r="MUT19" s="31"/>
      <c r="MUU19" s="31"/>
      <c r="MUV19" s="31"/>
      <c r="MUW19" s="31"/>
      <c r="MUX19" s="31"/>
      <c r="MUY19" s="31"/>
      <c r="MUZ19" s="31"/>
      <c r="MVA19" s="31"/>
      <c r="MVB19" s="31"/>
      <c r="MVC19" s="31"/>
      <c r="MVR19" s="33"/>
      <c r="MVS19" s="31"/>
      <c r="MVT19" s="31"/>
      <c r="MVU19" s="48"/>
      <c r="MVV19" s="31"/>
      <c r="MVW19" s="31"/>
      <c r="MVX19" s="31"/>
      <c r="MVY19" s="31"/>
      <c r="MVZ19" s="31"/>
      <c r="MWA19" s="31"/>
      <c r="MWB19" s="31"/>
      <c r="MWC19" s="31"/>
      <c r="MWD19" s="31"/>
      <c r="MWE19" s="31"/>
      <c r="MWF19" s="31"/>
      <c r="MWG19" s="31"/>
      <c r="MWH19" s="31"/>
      <c r="MWI19" s="31"/>
      <c r="MWX19" s="33"/>
      <c r="MWY19" s="31"/>
      <c r="MWZ19" s="31"/>
      <c r="MXA19" s="48"/>
      <c r="MXB19" s="31"/>
      <c r="MXC19" s="31"/>
      <c r="MXD19" s="31"/>
      <c r="MXE19" s="31"/>
      <c r="MXF19" s="31"/>
      <c r="MXG19" s="31"/>
      <c r="MXH19" s="31"/>
      <c r="MXI19" s="31"/>
      <c r="MXJ19" s="31"/>
      <c r="MXK19" s="31"/>
      <c r="MXL19" s="31"/>
      <c r="MXM19" s="31"/>
      <c r="MXN19" s="31"/>
      <c r="MXO19" s="31"/>
      <c r="MYD19" s="33"/>
      <c r="MYE19" s="31"/>
      <c r="MYF19" s="31"/>
      <c r="MYG19" s="48"/>
      <c r="MYH19" s="31"/>
      <c r="MYI19" s="31"/>
      <c r="MYJ19" s="31"/>
      <c r="MYK19" s="31"/>
      <c r="MYL19" s="31"/>
      <c r="MYM19" s="31"/>
      <c r="MYN19" s="31"/>
      <c r="MYO19" s="31"/>
      <c r="MYP19" s="31"/>
      <c r="MYQ19" s="31"/>
      <c r="MYR19" s="31"/>
      <c r="MYS19" s="31"/>
      <c r="MYT19" s="31"/>
      <c r="MYU19" s="31"/>
      <c r="MZJ19" s="33"/>
      <c r="MZK19" s="31"/>
      <c r="MZL19" s="31"/>
      <c r="MZM19" s="48"/>
      <c r="MZN19" s="31"/>
      <c r="MZO19" s="31"/>
      <c r="MZP19" s="31"/>
      <c r="MZQ19" s="31"/>
      <c r="MZR19" s="31"/>
      <c r="MZS19" s="31"/>
      <c r="MZT19" s="31"/>
      <c r="MZU19" s="31"/>
      <c r="MZV19" s="31"/>
      <c r="MZW19" s="31"/>
      <c r="MZX19" s="31"/>
      <c r="MZY19" s="31"/>
      <c r="MZZ19" s="31"/>
      <c r="NAA19" s="31"/>
      <c r="NAP19" s="33"/>
      <c r="NAQ19" s="31"/>
      <c r="NAR19" s="31"/>
      <c r="NAS19" s="48"/>
      <c r="NAT19" s="31"/>
      <c r="NAU19" s="31"/>
      <c r="NAV19" s="31"/>
      <c r="NAW19" s="31"/>
      <c r="NAX19" s="31"/>
      <c r="NAY19" s="31"/>
      <c r="NAZ19" s="31"/>
      <c r="NBA19" s="31"/>
      <c r="NBB19" s="31"/>
      <c r="NBC19" s="31"/>
      <c r="NBD19" s="31"/>
      <c r="NBE19" s="31"/>
      <c r="NBF19" s="31"/>
      <c r="NBG19" s="31"/>
      <c r="NBV19" s="33"/>
      <c r="NBW19" s="31"/>
      <c r="NBX19" s="31"/>
      <c r="NBY19" s="48"/>
      <c r="NBZ19" s="31"/>
      <c r="NCA19" s="31"/>
      <c r="NCB19" s="31"/>
      <c r="NCC19" s="31"/>
      <c r="NCD19" s="31"/>
      <c r="NCE19" s="31"/>
      <c r="NCF19" s="31"/>
      <c r="NCG19" s="31"/>
      <c r="NCH19" s="31"/>
      <c r="NCI19" s="31"/>
      <c r="NCJ19" s="31"/>
      <c r="NCK19" s="31"/>
      <c r="NCL19" s="31"/>
      <c r="NCM19" s="31"/>
      <c r="NDB19" s="33"/>
      <c r="NDC19" s="31"/>
      <c r="NDD19" s="31"/>
      <c r="NDE19" s="48"/>
      <c r="NDF19" s="31"/>
      <c r="NDG19" s="31"/>
      <c r="NDH19" s="31"/>
      <c r="NDI19" s="31"/>
      <c r="NDJ19" s="31"/>
      <c r="NDK19" s="31"/>
      <c r="NDL19" s="31"/>
      <c r="NDM19" s="31"/>
      <c r="NDN19" s="31"/>
      <c r="NDO19" s="31"/>
      <c r="NDP19" s="31"/>
      <c r="NDQ19" s="31"/>
      <c r="NDR19" s="31"/>
      <c r="NDS19" s="31"/>
      <c r="NEH19" s="33"/>
      <c r="NEI19" s="31"/>
      <c r="NEJ19" s="31"/>
      <c r="NEK19" s="48"/>
      <c r="NEL19" s="31"/>
      <c r="NEM19" s="31"/>
      <c r="NEN19" s="31"/>
      <c r="NEO19" s="31"/>
      <c r="NEP19" s="31"/>
      <c r="NEQ19" s="31"/>
      <c r="NER19" s="31"/>
      <c r="NES19" s="31"/>
      <c r="NET19" s="31"/>
      <c r="NEU19" s="31"/>
      <c r="NEV19" s="31"/>
      <c r="NEW19" s="31"/>
      <c r="NEX19" s="31"/>
      <c r="NEY19" s="31"/>
      <c r="NFN19" s="33"/>
      <c r="NFO19" s="31"/>
      <c r="NFP19" s="31"/>
      <c r="NFQ19" s="48"/>
      <c r="NFR19" s="31"/>
      <c r="NFS19" s="31"/>
      <c r="NFT19" s="31"/>
      <c r="NFU19" s="31"/>
      <c r="NFV19" s="31"/>
      <c r="NFW19" s="31"/>
      <c r="NFX19" s="31"/>
      <c r="NFY19" s="31"/>
      <c r="NFZ19" s="31"/>
      <c r="NGA19" s="31"/>
      <c r="NGB19" s="31"/>
      <c r="NGC19" s="31"/>
      <c r="NGD19" s="31"/>
      <c r="NGE19" s="31"/>
      <c r="NGT19" s="33"/>
      <c r="NGU19" s="31"/>
      <c r="NGV19" s="31"/>
      <c r="NGW19" s="48"/>
      <c r="NGX19" s="31"/>
      <c r="NGY19" s="31"/>
      <c r="NGZ19" s="31"/>
      <c r="NHA19" s="31"/>
      <c r="NHB19" s="31"/>
      <c r="NHC19" s="31"/>
      <c r="NHD19" s="31"/>
      <c r="NHE19" s="31"/>
      <c r="NHF19" s="31"/>
      <c r="NHG19" s="31"/>
      <c r="NHH19" s="31"/>
      <c r="NHI19" s="31"/>
      <c r="NHJ19" s="31"/>
      <c r="NHK19" s="31"/>
      <c r="NHZ19" s="33"/>
      <c r="NIA19" s="31"/>
      <c r="NIB19" s="31"/>
      <c r="NIC19" s="48"/>
      <c r="NID19" s="31"/>
      <c r="NIE19" s="31"/>
      <c r="NIF19" s="31"/>
      <c r="NIG19" s="31"/>
      <c r="NIH19" s="31"/>
      <c r="NII19" s="31"/>
      <c r="NIJ19" s="31"/>
      <c r="NIK19" s="31"/>
      <c r="NIL19" s="31"/>
      <c r="NIM19" s="31"/>
      <c r="NIN19" s="31"/>
      <c r="NIO19" s="31"/>
      <c r="NIP19" s="31"/>
      <c r="NIQ19" s="31"/>
      <c r="NJF19" s="33"/>
      <c r="NJG19" s="31"/>
      <c r="NJH19" s="31"/>
      <c r="NJI19" s="48"/>
      <c r="NJJ19" s="31"/>
      <c r="NJK19" s="31"/>
      <c r="NJL19" s="31"/>
      <c r="NJM19" s="31"/>
      <c r="NJN19" s="31"/>
      <c r="NJO19" s="31"/>
      <c r="NJP19" s="31"/>
      <c r="NJQ19" s="31"/>
      <c r="NJR19" s="31"/>
      <c r="NJS19" s="31"/>
      <c r="NJT19" s="31"/>
      <c r="NJU19" s="31"/>
      <c r="NJV19" s="31"/>
      <c r="NJW19" s="31"/>
      <c r="NKL19" s="33"/>
      <c r="NKM19" s="31"/>
      <c r="NKN19" s="31"/>
      <c r="NKO19" s="48"/>
      <c r="NKP19" s="31"/>
      <c r="NKQ19" s="31"/>
      <c r="NKR19" s="31"/>
      <c r="NKS19" s="31"/>
      <c r="NKT19" s="31"/>
      <c r="NKU19" s="31"/>
      <c r="NKV19" s="31"/>
      <c r="NKW19" s="31"/>
      <c r="NKX19" s="31"/>
      <c r="NKY19" s="31"/>
      <c r="NKZ19" s="31"/>
      <c r="NLA19" s="31"/>
      <c r="NLB19" s="31"/>
      <c r="NLC19" s="31"/>
      <c r="NLR19" s="33"/>
      <c r="NLS19" s="31"/>
      <c r="NLT19" s="31"/>
      <c r="NLU19" s="48"/>
      <c r="NLV19" s="31"/>
      <c r="NLW19" s="31"/>
      <c r="NLX19" s="31"/>
      <c r="NLY19" s="31"/>
      <c r="NLZ19" s="31"/>
      <c r="NMA19" s="31"/>
      <c r="NMB19" s="31"/>
      <c r="NMC19" s="31"/>
      <c r="NMD19" s="31"/>
      <c r="NME19" s="31"/>
      <c r="NMF19" s="31"/>
      <c r="NMG19" s="31"/>
      <c r="NMH19" s="31"/>
      <c r="NMI19" s="31"/>
      <c r="NMX19" s="33"/>
      <c r="NMY19" s="31"/>
      <c r="NMZ19" s="31"/>
      <c r="NNA19" s="48"/>
      <c r="NNB19" s="31"/>
      <c r="NNC19" s="31"/>
      <c r="NND19" s="31"/>
      <c r="NNE19" s="31"/>
      <c r="NNF19" s="31"/>
      <c r="NNG19" s="31"/>
      <c r="NNH19" s="31"/>
      <c r="NNI19" s="31"/>
      <c r="NNJ19" s="31"/>
      <c r="NNK19" s="31"/>
      <c r="NNL19" s="31"/>
      <c r="NNM19" s="31"/>
      <c r="NNN19" s="31"/>
      <c r="NNO19" s="31"/>
      <c r="NOD19" s="33"/>
      <c r="NOE19" s="31"/>
      <c r="NOF19" s="31"/>
      <c r="NOG19" s="48"/>
      <c r="NOH19" s="31"/>
      <c r="NOI19" s="31"/>
      <c r="NOJ19" s="31"/>
      <c r="NOK19" s="31"/>
      <c r="NOL19" s="31"/>
      <c r="NOM19" s="31"/>
      <c r="NON19" s="31"/>
      <c r="NOO19" s="31"/>
      <c r="NOP19" s="31"/>
      <c r="NOQ19" s="31"/>
      <c r="NOR19" s="31"/>
      <c r="NOS19" s="31"/>
      <c r="NOT19" s="31"/>
      <c r="NOU19" s="31"/>
      <c r="NPJ19" s="33"/>
      <c r="NPK19" s="31"/>
      <c r="NPL19" s="31"/>
      <c r="NPM19" s="48"/>
      <c r="NPN19" s="31"/>
      <c r="NPO19" s="31"/>
      <c r="NPP19" s="31"/>
      <c r="NPQ19" s="31"/>
      <c r="NPR19" s="31"/>
      <c r="NPS19" s="31"/>
      <c r="NPT19" s="31"/>
      <c r="NPU19" s="31"/>
      <c r="NPV19" s="31"/>
      <c r="NPW19" s="31"/>
      <c r="NPX19" s="31"/>
      <c r="NPY19" s="31"/>
      <c r="NPZ19" s="31"/>
      <c r="NQA19" s="31"/>
      <c r="NQP19" s="33"/>
      <c r="NQQ19" s="31"/>
      <c r="NQR19" s="31"/>
      <c r="NQS19" s="48"/>
      <c r="NQT19" s="31"/>
      <c r="NQU19" s="31"/>
      <c r="NQV19" s="31"/>
      <c r="NQW19" s="31"/>
      <c r="NQX19" s="31"/>
      <c r="NQY19" s="31"/>
      <c r="NQZ19" s="31"/>
      <c r="NRA19" s="31"/>
      <c r="NRB19" s="31"/>
      <c r="NRC19" s="31"/>
      <c r="NRD19" s="31"/>
      <c r="NRE19" s="31"/>
      <c r="NRF19" s="31"/>
      <c r="NRG19" s="31"/>
      <c r="NRV19" s="33"/>
      <c r="NRW19" s="31"/>
      <c r="NRX19" s="31"/>
      <c r="NRY19" s="48"/>
      <c r="NRZ19" s="31"/>
      <c r="NSA19" s="31"/>
      <c r="NSB19" s="31"/>
      <c r="NSC19" s="31"/>
      <c r="NSD19" s="31"/>
      <c r="NSE19" s="31"/>
      <c r="NSF19" s="31"/>
      <c r="NSG19" s="31"/>
      <c r="NSH19" s="31"/>
      <c r="NSI19" s="31"/>
      <c r="NSJ19" s="31"/>
      <c r="NSK19" s="31"/>
      <c r="NSL19" s="31"/>
      <c r="NSM19" s="31"/>
      <c r="NTB19" s="33"/>
      <c r="NTC19" s="31"/>
      <c r="NTD19" s="31"/>
      <c r="NTE19" s="48"/>
      <c r="NTF19" s="31"/>
      <c r="NTG19" s="31"/>
      <c r="NTH19" s="31"/>
      <c r="NTI19" s="31"/>
      <c r="NTJ19" s="31"/>
      <c r="NTK19" s="31"/>
      <c r="NTL19" s="31"/>
      <c r="NTM19" s="31"/>
      <c r="NTN19" s="31"/>
      <c r="NTO19" s="31"/>
      <c r="NTP19" s="31"/>
      <c r="NTQ19" s="31"/>
      <c r="NTR19" s="31"/>
      <c r="NTS19" s="31"/>
      <c r="NUH19" s="33"/>
      <c r="NUI19" s="31"/>
      <c r="NUJ19" s="31"/>
      <c r="NUK19" s="48"/>
      <c r="NUL19" s="31"/>
      <c r="NUM19" s="31"/>
      <c r="NUN19" s="31"/>
      <c r="NUO19" s="31"/>
      <c r="NUP19" s="31"/>
      <c r="NUQ19" s="31"/>
      <c r="NUR19" s="31"/>
      <c r="NUS19" s="31"/>
      <c r="NUT19" s="31"/>
      <c r="NUU19" s="31"/>
      <c r="NUV19" s="31"/>
      <c r="NUW19" s="31"/>
      <c r="NUX19" s="31"/>
      <c r="NUY19" s="31"/>
      <c r="NVN19" s="33"/>
      <c r="NVO19" s="31"/>
      <c r="NVP19" s="31"/>
      <c r="NVQ19" s="48"/>
      <c r="NVR19" s="31"/>
      <c r="NVS19" s="31"/>
      <c r="NVT19" s="31"/>
      <c r="NVU19" s="31"/>
      <c r="NVV19" s="31"/>
      <c r="NVW19" s="31"/>
      <c r="NVX19" s="31"/>
      <c r="NVY19" s="31"/>
      <c r="NVZ19" s="31"/>
      <c r="NWA19" s="31"/>
      <c r="NWB19" s="31"/>
      <c r="NWC19" s="31"/>
      <c r="NWD19" s="31"/>
      <c r="NWE19" s="31"/>
      <c r="NWT19" s="33"/>
      <c r="NWU19" s="31"/>
      <c r="NWV19" s="31"/>
      <c r="NWW19" s="48"/>
      <c r="NWX19" s="31"/>
      <c r="NWY19" s="31"/>
      <c r="NWZ19" s="31"/>
      <c r="NXA19" s="31"/>
      <c r="NXB19" s="31"/>
      <c r="NXC19" s="31"/>
      <c r="NXD19" s="31"/>
      <c r="NXE19" s="31"/>
      <c r="NXF19" s="31"/>
      <c r="NXG19" s="31"/>
      <c r="NXH19" s="31"/>
      <c r="NXI19" s="31"/>
      <c r="NXJ19" s="31"/>
      <c r="NXK19" s="31"/>
      <c r="NXZ19" s="33"/>
      <c r="NYA19" s="31"/>
      <c r="NYB19" s="31"/>
      <c r="NYC19" s="48"/>
      <c r="NYD19" s="31"/>
      <c r="NYE19" s="31"/>
      <c r="NYF19" s="31"/>
      <c r="NYG19" s="31"/>
      <c r="NYH19" s="31"/>
      <c r="NYI19" s="31"/>
      <c r="NYJ19" s="31"/>
      <c r="NYK19" s="31"/>
      <c r="NYL19" s="31"/>
      <c r="NYM19" s="31"/>
      <c r="NYN19" s="31"/>
      <c r="NYO19" s="31"/>
      <c r="NYP19" s="31"/>
      <c r="NYQ19" s="31"/>
      <c r="NZF19" s="33"/>
      <c r="NZG19" s="31"/>
      <c r="NZH19" s="31"/>
      <c r="NZI19" s="48"/>
      <c r="NZJ19" s="31"/>
      <c r="NZK19" s="31"/>
      <c r="NZL19" s="31"/>
      <c r="NZM19" s="31"/>
      <c r="NZN19" s="31"/>
      <c r="NZO19" s="31"/>
      <c r="NZP19" s="31"/>
      <c r="NZQ19" s="31"/>
      <c r="NZR19" s="31"/>
      <c r="NZS19" s="31"/>
      <c r="NZT19" s="31"/>
      <c r="NZU19" s="31"/>
      <c r="NZV19" s="31"/>
      <c r="NZW19" s="31"/>
      <c r="OAL19" s="33"/>
      <c r="OAM19" s="31"/>
      <c r="OAN19" s="31"/>
      <c r="OAO19" s="48"/>
      <c r="OAP19" s="31"/>
      <c r="OAQ19" s="31"/>
      <c r="OAR19" s="31"/>
      <c r="OAS19" s="31"/>
      <c r="OAT19" s="31"/>
      <c r="OAU19" s="31"/>
      <c r="OAV19" s="31"/>
      <c r="OAW19" s="31"/>
      <c r="OAX19" s="31"/>
      <c r="OAY19" s="31"/>
      <c r="OAZ19" s="31"/>
      <c r="OBA19" s="31"/>
      <c r="OBB19" s="31"/>
      <c r="OBC19" s="31"/>
      <c r="OBR19" s="33"/>
      <c r="OBS19" s="31"/>
      <c r="OBT19" s="31"/>
      <c r="OBU19" s="48"/>
      <c r="OBV19" s="31"/>
      <c r="OBW19" s="31"/>
      <c r="OBX19" s="31"/>
      <c r="OBY19" s="31"/>
      <c r="OBZ19" s="31"/>
      <c r="OCA19" s="31"/>
      <c r="OCB19" s="31"/>
      <c r="OCC19" s="31"/>
      <c r="OCD19" s="31"/>
      <c r="OCE19" s="31"/>
      <c r="OCF19" s="31"/>
      <c r="OCG19" s="31"/>
      <c r="OCH19" s="31"/>
      <c r="OCI19" s="31"/>
      <c r="OCX19" s="33"/>
      <c r="OCY19" s="31"/>
      <c r="OCZ19" s="31"/>
      <c r="ODA19" s="48"/>
      <c r="ODB19" s="31"/>
      <c r="ODC19" s="31"/>
      <c r="ODD19" s="31"/>
      <c r="ODE19" s="31"/>
      <c r="ODF19" s="31"/>
      <c r="ODG19" s="31"/>
      <c r="ODH19" s="31"/>
      <c r="ODI19" s="31"/>
      <c r="ODJ19" s="31"/>
      <c r="ODK19" s="31"/>
      <c r="ODL19" s="31"/>
      <c r="ODM19" s="31"/>
      <c r="ODN19" s="31"/>
      <c r="ODO19" s="31"/>
      <c r="OED19" s="33"/>
      <c r="OEE19" s="31"/>
      <c r="OEF19" s="31"/>
      <c r="OEG19" s="48"/>
      <c r="OEH19" s="31"/>
      <c r="OEI19" s="31"/>
      <c r="OEJ19" s="31"/>
      <c r="OEK19" s="31"/>
      <c r="OEL19" s="31"/>
      <c r="OEM19" s="31"/>
      <c r="OEN19" s="31"/>
      <c r="OEO19" s="31"/>
      <c r="OEP19" s="31"/>
      <c r="OEQ19" s="31"/>
      <c r="OER19" s="31"/>
      <c r="OES19" s="31"/>
      <c r="OET19" s="31"/>
      <c r="OEU19" s="31"/>
      <c r="OFJ19" s="33"/>
      <c r="OFK19" s="31"/>
      <c r="OFL19" s="31"/>
      <c r="OFM19" s="48"/>
      <c r="OFN19" s="31"/>
      <c r="OFO19" s="31"/>
      <c r="OFP19" s="31"/>
      <c r="OFQ19" s="31"/>
      <c r="OFR19" s="31"/>
      <c r="OFS19" s="31"/>
      <c r="OFT19" s="31"/>
      <c r="OFU19" s="31"/>
      <c r="OFV19" s="31"/>
      <c r="OFW19" s="31"/>
      <c r="OFX19" s="31"/>
      <c r="OFY19" s="31"/>
      <c r="OFZ19" s="31"/>
      <c r="OGA19" s="31"/>
      <c r="OGP19" s="33"/>
      <c r="OGQ19" s="31"/>
      <c r="OGR19" s="31"/>
      <c r="OGS19" s="48"/>
      <c r="OGT19" s="31"/>
      <c r="OGU19" s="31"/>
      <c r="OGV19" s="31"/>
      <c r="OGW19" s="31"/>
      <c r="OGX19" s="31"/>
      <c r="OGY19" s="31"/>
      <c r="OGZ19" s="31"/>
      <c r="OHA19" s="31"/>
      <c r="OHB19" s="31"/>
      <c r="OHC19" s="31"/>
      <c r="OHD19" s="31"/>
      <c r="OHE19" s="31"/>
      <c r="OHF19" s="31"/>
      <c r="OHG19" s="31"/>
      <c r="OHV19" s="33"/>
      <c r="OHW19" s="31"/>
      <c r="OHX19" s="31"/>
      <c r="OHY19" s="48"/>
      <c r="OHZ19" s="31"/>
      <c r="OIA19" s="31"/>
      <c r="OIB19" s="31"/>
      <c r="OIC19" s="31"/>
      <c r="OID19" s="31"/>
      <c r="OIE19" s="31"/>
      <c r="OIF19" s="31"/>
      <c r="OIG19" s="31"/>
      <c r="OIH19" s="31"/>
      <c r="OII19" s="31"/>
      <c r="OIJ19" s="31"/>
      <c r="OIK19" s="31"/>
      <c r="OIL19" s="31"/>
      <c r="OIM19" s="31"/>
      <c r="OJB19" s="33"/>
      <c r="OJC19" s="31"/>
      <c r="OJD19" s="31"/>
      <c r="OJE19" s="48"/>
      <c r="OJF19" s="31"/>
      <c r="OJG19" s="31"/>
      <c r="OJH19" s="31"/>
      <c r="OJI19" s="31"/>
      <c r="OJJ19" s="31"/>
      <c r="OJK19" s="31"/>
      <c r="OJL19" s="31"/>
      <c r="OJM19" s="31"/>
      <c r="OJN19" s="31"/>
      <c r="OJO19" s="31"/>
      <c r="OJP19" s="31"/>
      <c r="OJQ19" s="31"/>
      <c r="OJR19" s="31"/>
      <c r="OJS19" s="31"/>
      <c r="OKH19" s="33"/>
      <c r="OKI19" s="31"/>
      <c r="OKJ19" s="31"/>
      <c r="OKK19" s="48"/>
      <c r="OKL19" s="31"/>
      <c r="OKM19" s="31"/>
      <c r="OKN19" s="31"/>
      <c r="OKO19" s="31"/>
      <c r="OKP19" s="31"/>
      <c r="OKQ19" s="31"/>
      <c r="OKR19" s="31"/>
      <c r="OKS19" s="31"/>
      <c r="OKT19" s="31"/>
      <c r="OKU19" s="31"/>
      <c r="OKV19" s="31"/>
      <c r="OKW19" s="31"/>
      <c r="OKX19" s="31"/>
      <c r="OKY19" s="31"/>
      <c r="OLN19" s="33"/>
      <c r="OLO19" s="31"/>
      <c r="OLP19" s="31"/>
      <c r="OLQ19" s="48"/>
      <c r="OLR19" s="31"/>
      <c r="OLS19" s="31"/>
      <c r="OLT19" s="31"/>
      <c r="OLU19" s="31"/>
      <c r="OLV19" s="31"/>
      <c r="OLW19" s="31"/>
      <c r="OLX19" s="31"/>
      <c r="OLY19" s="31"/>
      <c r="OLZ19" s="31"/>
      <c r="OMA19" s="31"/>
      <c r="OMB19" s="31"/>
      <c r="OMC19" s="31"/>
      <c r="OMD19" s="31"/>
      <c r="OME19" s="31"/>
      <c r="OMT19" s="33"/>
      <c r="OMU19" s="31"/>
      <c r="OMV19" s="31"/>
      <c r="OMW19" s="48"/>
      <c r="OMX19" s="31"/>
      <c r="OMY19" s="31"/>
      <c r="OMZ19" s="31"/>
      <c r="ONA19" s="31"/>
      <c r="ONB19" s="31"/>
      <c r="ONC19" s="31"/>
      <c r="OND19" s="31"/>
      <c r="ONE19" s="31"/>
      <c r="ONF19" s="31"/>
      <c r="ONG19" s="31"/>
      <c r="ONH19" s="31"/>
      <c r="ONI19" s="31"/>
      <c r="ONJ19" s="31"/>
      <c r="ONK19" s="31"/>
      <c r="ONZ19" s="33"/>
      <c r="OOA19" s="31"/>
      <c r="OOB19" s="31"/>
      <c r="OOC19" s="48"/>
      <c r="OOD19" s="31"/>
      <c r="OOE19" s="31"/>
      <c r="OOF19" s="31"/>
      <c r="OOG19" s="31"/>
      <c r="OOH19" s="31"/>
      <c r="OOI19" s="31"/>
      <c r="OOJ19" s="31"/>
      <c r="OOK19" s="31"/>
      <c r="OOL19" s="31"/>
      <c r="OOM19" s="31"/>
      <c r="OON19" s="31"/>
      <c r="OOO19" s="31"/>
      <c r="OOP19" s="31"/>
      <c r="OOQ19" s="31"/>
      <c r="OPF19" s="33"/>
      <c r="OPG19" s="31"/>
      <c r="OPH19" s="31"/>
      <c r="OPI19" s="48"/>
      <c r="OPJ19" s="31"/>
      <c r="OPK19" s="31"/>
      <c r="OPL19" s="31"/>
      <c r="OPM19" s="31"/>
      <c r="OPN19" s="31"/>
      <c r="OPO19" s="31"/>
      <c r="OPP19" s="31"/>
      <c r="OPQ19" s="31"/>
      <c r="OPR19" s="31"/>
      <c r="OPS19" s="31"/>
      <c r="OPT19" s="31"/>
      <c r="OPU19" s="31"/>
      <c r="OPV19" s="31"/>
      <c r="OPW19" s="31"/>
      <c r="OQL19" s="33"/>
      <c r="OQM19" s="31"/>
      <c r="OQN19" s="31"/>
      <c r="OQO19" s="48"/>
      <c r="OQP19" s="31"/>
      <c r="OQQ19" s="31"/>
      <c r="OQR19" s="31"/>
      <c r="OQS19" s="31"/>
      <c r="OQT19" s="31"/>
      <c r="OQU19" s="31"/>
      <c r="OQV19" s="31"/>
      <c r="OQW19" s="31"/>
      <c r="OQX19" s="31"/>
      <c r="OQY19" s="31"/>
      <c r="OQZ19" s="31"/>
      <c r="ORA19" s="31"/>
      <c r="ORB19" s="31"/>
      <c r="ORC19" s="31"/>
      <c r="ORR19" s="33"/>
      <c r="ORS19" s="31"/>
      <c r="ORT19" s="31"/>
      <c r="ORU19" s="48"/>
      <c r="ORV19" s="31"/>
      <c r="ORW19" s="31"/>
      <c r="ORX19" s="31"/>
      <c r="ORY19" s="31"/>
      <c r="ORZ19" s="31"/>
      <c r="OSA19" s="31"/>
      <c r="OSB19" s="31"/>
      <c r="OSC19" s="31"/>
      <c r="OSD19" s="31"/>
      <c r="OSE19" s="31"/>
      <c r="OSF19" s="31"/>
      <c r="OSG19" s="31"/>
      <c r="OSH19" s="31"/>
      <c r="OSI19" s="31"/>
      <c r="OSX19" s="33"/>
      <c r="OSY19" s="31"/>
      <c r="OSZ19" s="31"/>
      <c r="OTA19" s="48"/>
      <c r="OTB19" s="31"/>
      <c r="OTC19" s="31"/>
      <c r="OTD19" s="31"/>
      <c r="OTE19" s="31"/>
      <c r="OTF19" s="31"/>
      <c r="OTG19" s="31"/>
      <c r="OTH19" s="31"/>
      <c r="OTI19" s="31"/>
      <c r="OTJ19" s="31"/>
      <c r="OTK19" s="31"/>
      <c r="OTL19" s="31"/>
      <c r="OTM19" s="31"/>
      <c r="OTN19" s="31"/>
      <c r="OTO19" s="31"/>
      <c r="OUD19" s="33"/>
      <c r="OUE19" s="31"/>
      <c r="OUF19" s="31"/>
      <c r="OUG19" s="48"/>
      <c r="OUH19" s="31"/>
      <c r="OUI19" s="31"/>
      <c r="OUJ19" s="31"/>
      <c r="OUK19" s="31"/>
      <c r="OUL19" s="31"/>
      <c r="OUM19" s="31"/>
      <c r="OUN19" s="31"/>
      <c r="OUO19" s="31"/>
      <c r="OUP19" s="31"/>
      <c r="OUQ19" s="31"/>
      <c r="OUR19" s="31"/>
      <c r="OUS19" s="31"/>
      <c r="OUT19" s="31"/>
      <c r="OUU19" s="31"/>
      <c r="OVJ19" s="33"/>
      <c r="OVK19" s="31"/>
      <c r="OVL19" s="31"/>
      <c r="OVM19" s="48"/>
      <c r="OVN19" s="31"/>
      <c r="OVO19" s="31"/>
      <c r="OVP19" s="31"/>
      <c r="OVQ19" s="31"/>
      <c r="OVR19" s="31"/>
      <c r="OVS19" s="31"/>
      <c r="OVT19" s="31"/>
      <c r="OVU19" s="31"/>
      <c r="OVV19" s="31"/>
      <c r="OVW19" s="31"/>
      <c r="OVX19" s="31"/>
      <c r="OVY19" s="31"/>
      <c r="OVZ19" s="31"/>
      <c r="OWA19" s="31"/>
      <c r="OWP19" s="33"/>
      <c r="OWQ19" s="31"/>
      <c r="OWR19" s="31"/>
      <c r="OWS19" s="48"/>
      <c r="OWT19" s="31"/>
      <c r="OWU19" s="31"/>
      <c r="OWV19" s="31"/>
      <c r="OWW19" s="31"/>
      <c r="OWX19" s="31"/>
      <c r="OWY19" s="31"/>
      <c r="OWZ19" s="31"/>
      <c r="OXA19" s="31"/>
      <c r="OXB19" s="31"/>
      <c r="OXC19" s="31"/>
      <c r="OXD19" s="31"/>
      <c r="OXE19" s="31"/>
      <c r="OXF19" s="31"/>
      <c r="OXG19" s="31"/>
      <c r="OXV19" s="33"/>
      <c r="OXW19" s="31"/>
      <c r="OXX19" s="31"/>
      <c r="OXY19" s="48"/>
      <c r="OXZ19" s="31"/>
      <c r="OYA19" s="31"/>
      <c r="OYB19" s="31"/>
      <c r="OYC19" s="31"/>
      <c r="OYD19" s="31"/>
      <c r="OYE19" s="31"/>
      <c r="OYF19" s="31"/>
      <c r="OYG19" s="31"/>
      <c r="OYH19" s="31"/>
      <c r="OYI19" s="31"/>
      <c r="OYJ19" s="31"/>
      <c r="OYK19" s="31"/>
      <c r="OYL19" s="31"/>
      <c r="OYM19" s="31"/>
      <c r="OZB19" s="33"/>
      <c r="OZC19" s="31"/>
      <c r="OZD19" s="31"/>
      <c r="OZE19" s="48"/>
      <c r="OZF19" s="31"/>
      <c r="OZG19" s="31"/>
      <c r="OZH19" s="31"/>
      <c r="OZI19" s="31"/>
      <c r="OZJ19" s="31"/>
      <c r="OZK19" s="31"/>
      <c r="OZL19" s="31"/>
      <c r="OZM19" s="31"/>
      <c r="OZN19" s="31"/>
      <c r="OZO19" s="31"/>
      <c r="OZP19" s="31"/>
      <c r="OZQ19" s="31"/>
      <c r="OZR19" s="31"/>
      <c r="OZS19" s="31"/>
      <c r="PAH19" s="33"/>
      <c r="PAI19" s="31"/>
      <c r="PAJ19" s="31"/>
      <c r="PAK19" s="48"/>
      <c r="PAL19" s="31"/>
      <c r="PAM19" s="31"/>
      <c r="PAN19" s="31"/>
      <c r="PAO19" s="31"/>
      <c r="PAP19" s="31"/>
      <c r="PAQ19" s="31"/>
      <c r="PAR19" s="31"/>
      <c r="PAS19" s="31"/>
      <c r="PAT19" s="31"/>
      <c r="PAU19" s="31"/>
      <c r="PAV19" s="31"/>
      <c r="PAW19" s="31"/>
      <c r="PAX19" s="31"/>
      <c r="PAY19" s="31"/>
      <c r="PBN19" s="33"/>
      <c r="PBO19" s="31"/>
      <c r="PBP19" s="31"/>
      <c r="PBQ19" s="48"/>
      <c r="PBR19" s="31"/>
      <c r="PBS19" s="31"/>
      <c r="PBT19" s="31"/>
      <c r="PBU19" s="31"/>
      <c r="PBV19" s="31"/>
      <c r="PBW19" s="31"/>
      <c r="PBX19" s="31"/>
      <c r="PBY19" s="31"/>
      <c r="PBZ19" s="31"/>
      <c r="PCA19" s="31"/>
      <c r="PCB19" s="31"/>
      <c r="PCC19" s="31"/>
      <c r="PCD19" s="31"/>
      <c r="PCE19" s="31"/>
      <c r="PCT19" s="33"/>
      <c r="PCU19" s="31"/>
      <c r="PCV19" s="31"/>
      <c r="PCW19" s="48"/>
      <c r="PCX19" s="31"/>
      <c r="PCY19" s="31"/>
      <c r="PCZ19" s="31"/>
      <c r="PDA19" s="31"/>
      <c r="PDB19" s="31"/>
      <c r="PDC19" s="31"/>
      <c r="PDD19" s="31"/>
      <c r="PDE19" s="31"/>
      <c r="PDF19" s="31"/>
      <c r="PDG19" s="31"/>
      <c r="PDH19" s="31"/>
      <c r="PDI19" s="31"/>
      <c r="PDJ19" s="31"/>
      <c r="PDK19" s="31"/>
      <c r="PDZ19" s="33"/>
      <c r="PEA19" s="31"/>
      <c r="PEB19" s="31"/>
      <c r="PEC19" s="48"/>
      <c r="PED19" s="31"/>
      <c r="PEE19" s="31"/>
      <c r="PEF19" s="31"/>
      <c r="PEG19" s="31"/>
      <c r="PEH19" s="31"/>
      <c r="PEI19" s="31"/>
      <c r="PEJ19" s="31"/>
      <c r="PEK19" s="31"/>
      <c r="PEL19" s="31"/>
      <c r="PEM19" s="31"/>
      <c r="PEN19" s="31"/>
      <c r="PEO19" s="31"/>
      <c r="PEP19" s="31"/>
      <c r="PEQ19" s="31"/>
      <c r="PFF19" s="33"/>
      <c r="PFG19" s="31"/>
      <c r="PFH19" s="31"/>
      <c r="PFI19" s="48"/>
      <c r="PFJ19" s="31"/>
      <c r="PFK19" s="31"/>
      <c r="PFL19" s="31"/>
      <c r="PFM19" s="31"/>
      <c r="PFN19" s="31"/>
      <c r="PFO19" s="31"/>
      <c r="PFP19" s="31"/>
      <c r="PFQ19" s="31"/>
      <c r="PFR19" s="31"/>
      <c r="PFS19" s="31"/>
      <c r="PFT19" s="31"/>
      <c r="PFU19" s="31"/>
      <c r="PFV19" s="31"/>
      <c r="PFW19" s="31"/>
      <c r="PGL19" s="33"/>
      <c r="PGM19" s="31"/>
      <c r="PGN19" s="31"/>
      <c r="PGO19" s="48"/>
      <c r="PGP19" s="31"/>
      <c r="PGQ19" s="31"/>
      <c r="PGR19" s="31"/>
      <c r="PGS19" s="31"/>
      <c r="PGT19" s="31"/>
      <c r="PGU19" s="31"/>
      <c r="PGV19" s="31"/>
      <c r="PGW19" s="31"/>
      <c r="PGX19" s="31"/>
      <c r="PGY19" s="31"/>
      <c r="PGZ19" s="31"/>
      <c r="PHA19" s="31"/>
      <c r="PHB19" s="31"/>
      <c r="PHC19" s="31"/>
      <c r="PHR19" s="33"/>
      <c r="PHS19" s="31"/>
      <c r="PHT19" s="31"/>
      <c r="PHU19" s="48"/>
      <c r="PHV19" s="31"/>
      <c r="PHW19" s="31"/>
      <c r="PHX19" s="31"/>
      <c r="PHY19" s="31"/>
      <c r="PHZ19" s="31"/>
      <c r="PIA19" s="31"/>
      <c r="PIB19" s="31"/>
      <c r="PIC19" s="31"/>
      <c r="PID19" s="31"/>
      <c r="PIE19" s="31"/>
      <c r="PIF19" s="31"/>
      <c r="PIG19" s="31"/>
      <c r="PIH19" s="31"/>
      <c r="PII19" s="31"/>
      <c r="PIX19" s="33"/>
      <c r="PIY19" s="31"/>
      <c r="PIZ19" s="31"/>
      <c r="PJA19" s="48"/>
      <c r="PJB19" s="31"/>
      <c r="PJC19" s="31"/>
      <c r="PJD19" s="31"/>
      <c r="PJE19" s="31"/>
      <c r="PJF19" s="31"/>
      <c r="PJG19" s="31"/>
      <c r="PJH19" s="31"/>
      <c r="PJI19" s="31"/>
      <c r="PJJ19" s="31"/>
      <c r="PJK19" s="31"/>
      <c r="PJL19" s="31"/>
      <c r="PJM19" s="31"/>
      <c r="PJN19" s="31"/>
      <c r="PJO19" s="31"/>
      <c r="PKD19" s="33"/>
      <c r="PKE19" s="31"/>
      <c r="PKF19" s="31"/>
      <c r="PKG19" s="48"/>
      <c r="PKH19" s="31"/>
      <c r="PKI19" s="31"/>
      <c r="PKJ19" s="31"/>
      <c r="PKK19" s="31"/>
      <c r="PKL19" s="31"/>
      <c r="PKM19" s="31"/>
      <c r="PKN19" s="31"/>
      <c r="PKO19" s="31"/>
      <c r="PKP19" s="31"/>
      <c r="PKQ19" s="31"/>
      <c r="PKR19" s="31"/>
      <c r="PKS19" s="31"/>
      <c r="PKT19" s="31"/>
      <c r="PKU19" s="31"/>
      <c r="PLJ19" s="33"/>
      <c r="PLK19" s="31"/>
      <c r="PLL19" s="31"/>
      <c r="PLM19" s="48"/>
      <c r="PLN19" s="31"/>
      <c r="PLO19" s="31"/>
      <c r="PLP19" s="31"/>
      <c r="PLQ19" s="31"/>
      <c r="PLR19" s="31"/>
      <c r="PLS19" s="31"/>
      <c r="PLT19" s="31"/>
      <c r="PLU19" s="31"/>
      <c r="PLV19" s="31"/>
      <c r="PLW19" s="31"/>
      <c r="PLX19" s="31"/>
      <c r="PLY19" s="31"/>
      <c r="PLZ19" s="31"/>
      <c r="PMA19" s="31"/>
      <c r="PMP19" s="33"/>
      <c r="PMQ19" s="31"/>
      <c r="PMR19" s="31"/>
      <c r="PMS19" s="48"/>
      <c r="PMT19" s="31"/>
      <c r="PMU19" s="31"/>
      <c r="PMV19" s="31"/>
      <c r="PMW19" s="31"/>
      <c r="PMX19" s="31"/>
      <c r="PMY19" s="31"/>
      <c r="PMZ19" s="31"/>
      <c r="PNA19" s="31"/>
      <c r="PNB19" s="31"/>
      <c r="PNC19" s="31"/>
      <c r="PND19" s="31"/>
      <c r="PNE19" s="31"/>
      <c r="PNF19" s="31"/>
      <c r="PNG19" s="31"/>
      <c r="PNV19" s="33"/>
      <c r="PNW19" s="31"/>
      <c r="PNX19" s="31"/>
      <c r="PNY19" s="48"/>
      <c r="PNZ19" s="31"/>
      <c r="POA19" s="31"/>
      <c r="POB19" s="31"/>
      <c r="POC19" s="31"/>
      <c r="POD19" s="31"/>
      <c r="POE19" s="31"/>
      <c r="POF19" s="31"/>
      <c r="POG19" s="31"/>
      <c r="POH19" s="31"/>
      <c r="POI19" s="31"/>
      <c r="POJ19" s="31"/>
      <c r="POK19" s="31"/>
      <c r="POL19" s="31"/>
      <c r="POM19" s="31"/>
      <c r="PPB19" s="33"/>
      <c r="PPC19" s="31"/>
      <c r="PPD19" s="31"/>
      <c r="PPE19" s="48"/>
      <c r="PPF19" s="31"/>
      <c r="PPG19" s="31"/>
      <c r="PPH19" s="31"/>
      <c r="PPI19" s="31"/>
      <c r="PPJ19" s="31"/>
      <c r="PPK19" s="31"/>
      <c r="PPL19" s="31"/>
      <c r="PPM19" s="31"/>
      <c r="PPN19" s="31"/>
      <c r="PPO19" s="31"/>
      <c r="PPP19" s="31"/>
      <c r="PPQ19" s="31"/>
      <c r="PPR19" s="31"/>
      <c r="PPS19" s="31"/>
      <c r="PQH19" s="33"/>
      <c r="PQI19" s="31"/>
      <c r="PQJ19" s="31"/>
      <c r="PQK19" s="48"/>
      <c r="PQL19" s="31"/>
      <c r="PQM19" s="31"/>
      <c r="PQN19" s="31"/>
      <c r="PQO19" s="31"/>
      <c r="PQP19" s="31"/>
      <c r="PQQ19" s="31"/>
      <c r="PQR19" s="31"/>
      <c r="PQS19" s="31"/>
      <c r="PQT19" s="31"/>
      <c r="PQU19" s="31"/>
      <c r="PQV19" s="31"/>
      <c r="PQW19" s="31"/>
      <c r="PQX19" s="31"/>
      <c r="PQY19" s="31"/>
      <c r="PRN19" s="33"/>
      <c r="PRO19" s="31"/>
      <c r="PRP19" s="31"/>
      <c r="PRQ19" s="48"/>
      <c r="PRR19" s="31"/>
      <c r="PRS19" s="31"/>
      <c r="PRT19" s="31"/>
      <c r="PRU19" s="31"/>
      <c r="PRV19" s="31"/>
      <c r="PRW19" s="31"/>
      <c r="PRX19" s="31"/>
      <c r="PRY19" s="31"/>
      <c r="PRZ19" s="31"/>
      <c r="PSA19" s="31"/>
      <c r="PSB19" s="31"/>
      <c r="PSC19" s="31"/>
      <c r="PSD19" s="31"/>
      <c r="PSE19" s="31"/>
      <c r="PST19" s="33"/>
      <c r="PSU19" s="31"/>
      <c r="PSV19" s="31"/>
      <c r="PSW19" s="48"/>
      <c r="PSX19" s="31"/>
      <c r="PSY19" s="31"/>
      <c r="PSZ19" s="31"/>
      <c r="PTA19" s="31"/>
      <c r="PTB19" s="31"/>
      <c r="PTC19" s="31"/>
      <c r="PTD19" s="31"/>
      <c r="PTE19" s="31"/>
      <c r="PTF19" s="31"/>
      <c r="PTG19" s="31"/>
      <c r="PTH19" s="31"/>
      <c r="PTI19" s="31"/>
      <c r="PTJ19" s="31"/>
      <c r="PTK19" s="31"/>
      <c r="PTZ19" s="33"/>
      <c r="PUA19" s="31"/>
      <c r="PUB19" s="31"/>
      <c r="PUC19" s="48"/>
      <c r="PUD19" s="31"/>
      <c r="PUE19" s="31"/>
      <c r="PUF19" s="31"/>
      <c r="PUG19" s="31"/>
      <c r="PUH19" s="31"/>
      <c r="PUI19" s="31"/>
      <c r="PUJ19" s="31"/>
      <c r="PUK19" s="31"/>
      <c r="PUL19" s="31"/>
      <c r="PUM19" s="31"/>
      <c r="PUN19" s="31"/>
      <c r="PUO19" s="31"/>
      <c r="PUP19" s="31"/>
      <c r="PUQ19" s="31"/>
      <c r="PVF19" s="33"/>
      <c r="PVG19" s="31"/>
      <c r="PVH19" s="31"/>
      <c r="PVI19" s="48"/>
      <c r="PVJ19" s="31"/>
      <c r="PVK19" s="31"/>
      <c r="PVL19" s="31"/>
      <c r="PVM19" s="31"/>
      <c r="PVN19" s="31"/>
      <c r="PVO19" s="31"/>
      <c r="PVP19" s="31"/>
      <c r="PVQ19" s="31"/>
      <c r="PVR19" s="31"/>
      <c r="PVS19" s="31"/>
      <c r="PVT19" s="31"/>
      <c r="PVU19" s="31"/>
      <c r="PVV19" s="31"/>
      <c r="PVW19" s="31"/>
      <c r="PWL19" s="33"/>
      <c r="PWM19" s="31"/>
      <c r="PWN19" s="31"/>
      <c r="PWO19" s="48"/>
      <c r="PWP19" s="31"/>
      <c r="PWQ19" s="31"/>
      <c r="PWR19" s="31"/>
      <c r="PWS19" s="31"/>
      <c r="PWT19" s="31"/>
      <c r="PWU19" s="31"/>
      <c r="PWV19" s="31"/>
      <c r="PWW19" s="31"/>
      <c r="PWX19" s="31"/>
      <c r="PWY19" s="31"/>
      <c r="PWZ19" s="31"/>
      <c r="PXA19" s="31"/>
      <c r="PXB19" s="31"/>
      <c r="PXC19" s="31"/>
      <c r="PXR19" s="33"/>
      <c r="PXS19" s="31"/>
      <c r="PXT19" s="31"/>
      <c r="PXU19" s="48"/>
      <c r="PXV19" s="31"/>
      <c r="PXW19" s="31"/>
      <c r="PXX19" s="31"/>
      <c r="PXY19" s="31"/>
      <c r="PXZ19" s="31"/>
      <c r="PYA19" s="31"/>
      <c r="PYB19" s="31"/>
      <c r="PYC19" s="31"/>
      <c r="PYD19" s="31"/>
      <c r="PYE19" s="31"/>
      <c r="PYF19" s="31"/>
      <c r="PYG19" s="31"/>
      <c r="PYH19" s="31"/>
      <c r="PYI19" s="31"/>
      <c r="PYX19" s="33"/>
      <c r="PYY19" s="31"/>
      <c r="PYZ19" s="31"/>
      <c r="PZA19" s="48"/>
      <c r="PZB19" s="31"/>
      <c r="PZC19" s="31"/>
      <c r="PZD19" s="31"/>
      <c r="PZE19" s="31"/>
      <c r="PZF19" s="31"/>
      <c r="PZG19" s="31"/>
      <c r="PZH19" s="31"/>
      <c r="PZI19" s="31"/>
      <c r="PZJ19" s="31"/>
      <c r="PZK19" s="31"/>
      <c r="PZL19" s="31"/>
      <c r="PZM19" s="31"/>
      <c r="PZN19" s="31"/>
      <c r="PZO19" s="31"/>
      <c r="QAD19" s="33"/>
      <c r="QAE19" s="31"/>
      <c r="QAF19" s="31"/>
      <c r="QAG19" s="48"/>
      <c r="QAH19" s="31"/>
      <c r="QAI19" s="31"/>
      <c r="QAJ19" s="31"/>
      <c r="QAK19" s="31"/>
      <c r="QAL19" s="31"/>
      <c r="QAM19" s="31"/>
      <c r="QAN19" s="31"/>
      <c r="QAO19" s="31"/>
      <c r="QAP19" s="31"/>
      <c r="QAQ19" s="31"/>
      <c r="QAR19" s="31"/>
      <c r="QAS19" s="31"/>
      <c r="QAT19" s="31"/>
      <c r="QAU19" s="31"/>
      <c r="QBJ19" s="33"/>
      <c r="QBK19" s="31"/>
      <c r="QBL19" s="31"/>
      <c r="QBM19" s="48"/>
      <c r="QBN19" s="31"/>
      <c r="QBO19" s="31"/>
      <c r="QBP19" s="31"/>
      <c r="QBQ19" s="31"/>
      <c r="QBR19" s="31"/>
      <c r="QBS19" s="31"/>
      <c r="QBT19" s="31"/>
      <c r="QBU19" s="31"/>
      <c r="QBV19" s="31"/>
      <c r="QBW19" s="31"/>
      <c r="QBX19" s="31"/>
      <c r="QBY19" s="31"/>
      <c r="QBZ19" s="31"/>
      <c r="QCA19" s="31"/>
      <c r="QCP19" s="33"/>
      <c r="QCQ19" s="31"/>
      <c r="QCR19" s="31"/>
      <c r="QCS19" s="48"/>
      <c r="QCT19" s="31"/>
      <c r="QCU19" s="31"/>
      <c r="QCV19" s="31"/>
      <c r="QCW19" s="31"/>
      <c r="QCX19" s="31"/>
      <c r="QCY19" s="31"/>
      <c r="QCZ19" s="31"/>
      <c r="QDA19" s="31"/>
      <c r="QDB19" s="31"/>
      <c r="QDC19" s="31"/>
      <c r="QDD19" s="31"/>
      <c r="QDE19" s="31"/>
      <c r="QDF19" s="31"/>
      <c r="QDG19" s="31"/>
      <c r="QDV19" s="33"/>
      <c r="QDW19" s="31"/>
      <c r="QDX19" s="31"/>
      <c r="QDY19" s="48"/>
      <c r="QDZ19" s="31"/>
      <c r="QEA19" s="31"/>
      <c r="QEB19" s="31"/>
      <c r="QEC19" s="31"/>
      <c r="QED19" s="31"/>
      <c r="QEE19" s="31"/>
      <c r="QEF19" s="31"/>
      <c r="QEG19" s="31"/>
      <c r="QEH19" s="31"/>
      <c r="QEI19" s="31"/>
      <c r="QEJ19" s="31"/>
      <c r="QEK19" s="31"/>
      <c r="QEL19" s="31"/>
      <c r="QEM19" s="31"/>
      <c r="QFB19" s="33"/>
      <c r="QFC19" s="31"/>
      <c r="QFD19" s="31"/>
      <c r="QFE19" s="48"/>
      <c r="QFF19" s="31"/>
      <c r="QFG19" s="31"/>
      <c r="QFH19" s="31"/>
      <c r="QFI19" s="31"/>
      <c r="QFJ19" s="31"/>
      <c r="QFK19" s="31"/>
      <c r="QFL19" s="31"/>
      <c r="QFM19" s="31"/>
      <c r="QFN19" s="31"/>
      <c r="QFO19" s="31"/>
      <c r="QFP19" s="31"/>
      <c r="QFQ19" s="31"/>
      <c r="QFR19" s="31"/>
      <c r="QFS19" s="31"/>
      <c r="QGH19" s="33"/>
      <c r="QGI19" s="31"/>
      <c r="QGJ19" s="31"/>
      <c r="QGK19" s="48"/>
      <c r="QGL19" s="31"/>
      <c r="QGM19" s="31"/>
      <c r="QGN19" s="31"/>
      <c r="QGO19" s="31"/>
      <c r="QGP19" s="31"/>
      <c r="QGQ19" s="31"/>
      <c r="QGR19" s="31"/>
      <c r="QGS19" s="31"/>
      <c r="QGT19" s="31"/>
      <c r="QGU19" s="31"/>
      <c r="QGV19" s="31"/>
      <c r="QGW19" s="31"/>
      <c r="QGX19" s="31"/>
      <c r="QGY19" s="31"/>
      <c r="QHN19" s="33"/>
      <c r="QHO19" s="31"/>
      <c r="QHP19" s="31"/>
      <c r="QHQ19" s="48"/>
      <c r="QHR19" s="31"/>
      <c r="QHS19" s="31"/>
      <c r="QHT19" s="31"/>
      <c r="QHU19" s="31"/>
      <c r="QHV19" s="31"/>
      <c r="QHW19" s="31"/>
      <c r="QHX19" s="31"/>
      <c r="QHY19" s="31"/>
      <c r="QHZ19" s="31"/>
      <c r="QIA19" s="31"/>
      <c r="QIB19" s="31"/>
      <c r="QIC19" s="31"/>
      <c r="QID19" s="31"/>
      <c r="QIE19" s="31"/>
      <c r="QIT19" s="33"/>
      <c r="QIU19" s="31"/>
      <c r="QIV19" s="31"/>
      <c r="QIW19" s="48"/>
      <c r="QIX19" s="31"/>
      <c r="QIY19" s="31"/>
      <c r="QIZ19" s="31"/>
      <c r="QJA19" s="31"/>
      <c r="QJB19" s="31"/>
      <c r="QJC19" s="31"/>
      <c r="QJD19" s="31"/>
      <c r="QJE19" s="31"/>
      <c r="QJF19" s="31"/>
      <c r="QJG19" s="31"/>
      <c r="QJH19" s="31"/>
      <c r="QJI19" s="31"/>
      <c r="QJJ19" s="31"/>
      <c r="QJK19" s="31"/>
      <c r="QJZ19" s="33"/>
      <c r="QKA19" s="31"/>
      <c r="QKB19" s="31"/>
      <c r="QKC19" s="48"/>
      <c r="QKD19" s="31"/>
      <c r="QKE19" s="31"/>
      <c r="QKF19" s="31"/>
      <c r="QKG19" s="31"/>
      <c r="QKH19" s="31"/>
      <c r="QKI19" s="31"/>
      <c r="QKJ19" s="31"/>
      <c r="QKK19" s="31"/>
      <c r="QKL19" s="31"/>
      <c r="QKM19" s="31"/>
      <c r="QKN19" s="31"/>
      <c r="QKO19" s="31"/>
      <c r="QKP19" s="31"/>
      <c r="QKQ19" s="31"/>
      <c r="QLF19" s="33"/>
      <c r="QLG19" s="31"/>
      <c r="QLH19" s="31"/>
      <c r="QLI19" s="48"/>
      <c r="QLJ19" s="31"/>
      <c r="QLK19" s="31"/>
      <c r="QLL19" s="31"/>
      <c r="QLM19" s="31"/>
      <c r="QLN19" s="31"/>
      <c r="QLO19" s="31"/>
      <c r="QLP19" s="31"/>
      <c r="QLQ19" s="31"/>
      <c r="QLR19" s="31"/>
      <c r="QLS19" s="31"/>
      <c r="QLT19" s="31"/>
      <c r="QLU19" s="31"/>
      <c r="QLV19" s="31"/>
      <c r="QLW19" s="31"/>
      <c r="QML19" s="33"/>
      <c r="QMM19" s="31"/>
      <c r="QMN19" s="31"/>
      <c r="QMO19" s="48"/>
      <c r="QMP19" s="31"/>
      <c r="QMQ19" s="31"/>
      <c r="QMR19" s="31"/>
      <c r="QMS19" s="31"/>
      <c r="QMT19" s="31"/>
      <c r="QMU19" s="31"/>
      <c r="QMV19" s="31"/>
      <c r="QMW19" s="31"/>
      <c r="QMX19" s="31"/>
      <c r="QMY19" s="31"/>
      <c r="QMZ19" s="31"/>
      <c r="QNA19" s="31"/>
      <c r="QNB19" s="31"/>
      <c r="QNC19" s="31"/>
      <c r="QNR19" s="33"/>
      <c r="QNS19" s="31"/>
      <c r="QNT19" s="31"/>
      <c r="QNU19" s="48"/>
      <c r="QNV19" s="31"/>
      <c r="QNW19" s="31"/>
      <c r="QNX19" s="31"/>
      <c r="QNY19" s="31"/>
      <c r="QNZ19" s="31"/>
      <c r="QOA19" s="31"/>
      <c r="QOB19" s="31"/>
      <c r="QOC19" s="31"/>
      <c r="QOD19" s="31"/>
      <c r="QOE19" s="31"/>
      <c r="QOF19" s="31"/>
      <c r="QOG19" s="31"/>
      <c r="QOH19" s="31"/>
      <c r="QOI19" s="31"/>
      <c r="QOX19" s="33"/>
      <c r="QOY19" s="31"/>
      <c r="QOZ19" s="31"/>
      <c r="QPA19" s="48"/>
      <c r="QPB19" s="31"/>
      <c r="QPC19" s="31"/>
      <c r="QPD19" s="31"/>
      <c r="QPE19" s="31"/>
      <c r="QPF19" s="31"/>
      <c r="QPG19" s="31"/>
      <c r="QPH19" s="31"/>
      <c r="QPI19" s="31"/>
      <c r="QPJ19" s="31"/>
      <c r="QPK19" s="31"/>
      <c r="QPL19" s="31"/>
      <c r="QPM19" s="31"/>
      <c r="QPN19" s="31"/>
      <c r="QPO19" s="31"/>
      <c r="QQD19" s="33"/>
      <c r="QQE19" s="31"/>
      <c r="QQF19" s="31"/>
      <c r="QQG19" s="48"/>
      <c r="QQH19" s="31"/>
      <c r="QQI19" s="31"/>
      <c r="QQJ19" s="31"/>
      <c r="QQK19" s="31"/>
      <c r="QQL19" s="31"/>
      <c r="QQM19" s="31"/>
      <c r="QQN19" s="31"/>
      <c r="QQO19" s="31"/>
      <c r="QQP19" s="31"/>
      <c r="QQQ19" s="31"/>
      <c r="QQR19" s="31"/>
      <c r="QQS19" s="31"/>
      <c r="QQT19" s="31"/>
      <c r="QQU19" s="31"/>
      <c r="QRJ19" s="33"/>
      <c r="QRK19" s="31"/>
      <c r="QRL19" s="31"/>
      <c r="QRM19" s="48"/>
      <c r="QRN19" s="31"/>
      <c r="QRO19" s="31"/>
      <c r="QRP19" s="31"/>
      <c r="QRQ19" s="31"/>
      <c r="QRR19" s="31"/>
      <c r="QRS19" s="31"/>
      <c r="QRT19" s="31"/>
      <c r="QRU19" s="31"/>
      <c r="QRV19" s="31"/>
      <c r="QRW19" s="31"/>
      <c r="QRX19" s="31"/>
      <c r="QRY19" s="31"/>
      <c r="QRZ19" s="31"/>
      <c r="QSA19" s="31"/>
      <c r="QSP19" s="33"/>
      <c r="QSQ19" s="31"/>
      <c r="QSR19" s="31"/>
      <c r="QSS19" s="48"/>
      <c r="QST19" s="31"/>
      <c r="QSU19" s="31"/>
      <c r="QSV19" s="31"/>
      <c r="QSW19" s="31"/>
      <c r="QSX19" s="31"/>
      <c r="QSY19" s="31"/>
      <c r="QSZ19" s="31"/>
      <c r="QTA19" s="31"/>
      <c r="QTB19" s="31"/>
      <c r="QTC19" s="31"/>
      <c r="QTD19" s="31"/>
      <c r="QTE19" s="31"/>
      <c r="QTF19" s="31"/>
      <c r="QTG19" s="31"/>
      <c r="QTV19" s="33"/>
      <c r="QTW19" s="31"/>
      <c r="QTX19" s="31"/>
      <c r="QTY19" s="48"/>
      <c r="QTZ19" s="31"/>
      <c r="QUA19" s="31"/>
      <c r="QUB19" s="31"/>
      <c r="QUC19" s="31"/>
      <c r="QUD19" s="31"/>
      <c r="QUE19" s="31"/>
      <c r="QUF19" s="31"/>
      <c r="QUG19" s="31"/>
      <c r="QUH19" s="31"/>
      <c r="QUI19" s="31"/>
      <c r="QUJ19" s="31"/>
      <c r="QUK19" s="31"/>
      <c r="QUL19" s="31"/>
      <c r="QUM19" s="31"/>
      <c r="QVB19" s="33"/>
      <c r="QVC19" s="31"/>
      <c r="QVD19" s="31"/>
      <c r="QVE19" s="48"/>
      <c r="QVF19" s="31"/>
      <c r="QVG19" s="31"/>
      <c r="QVH19" s="31"/>
      <c r="QVI19" s="31"/>
      <c r="QVJ19" s="31"/>
      <c r="QVK19" s="31"/>
      <c r="QVL19" s="31"/>
      <c r="QVM19" s="31"/>
      <c r="QVN19" s="31"/>
      <c r="QVO19" s="31"/>
      <c r="QVP19" s="31"/>
      <c r="QVQ19" s="31"/>
      <c r="QVR19" s="31"/>
      <c r="QVS19" s="31"/>
      <c r="QWH19" s="33"/>
      <c r="QWI19" s="31"/>
      <c r="QWJ19" s="31"/>
      <c r="QWK19" s="48"/>
      <c r="QWL19" s="31"/>
      <c r="QWM19" s="31"/>
      <c r="QWN19" s="31"/>
      <c r="QWO19" s="31"/>
      <c r="QWP19" s="31"/>
      <c r="QWQ19" s="31"/>
      <c r="QWR19" s="31"/>
      <c r="QWS19" s="31"/>
      <c r="QWT19" s="31"/>
      <c r="QWU19" s="31"/>
      <c r="QWV19" s="31"/>
      <c r="QWW19" s="31"/>
      <c r="QWX19" s="31"/>
      <c r="QWY19" s="31"/>
      <c r="QXN19" s="33"/>
      <c r="QXO19" s="31"/>
      <c r="QXP19" s="31"/>
      <c r="QXQ19" s="48"/>
      <c r="QXR19" s="31"/>
      <c r="QXS19" s="31"/>
      <c r="QXT19" s="31"/>
      <c r="QXU19" s="31"/>
      <c r="QXV19" s="31"/>
      <c r="QXW19" s="31"/>
      <c r="QXX19" s="31"/>
      <c r="QXY19" s="31"/>
      <c r="QXZ19" s="31"/>
      <c r="QYA19" s="31"/>
      <c r="QYB19" s="31"/>
      <c r="QYC19" s="31"/>
      <c r="QYD19" s="31"/>
      <c r="QYE19" s="31"/>
      <c r="QYT19" s="33"/>
      <c r="QYU19" s="31"/>
      <c r="QYV19" s="31"/>
      <c r="QYW19" s="48"/>
      <c r="QYX19" s="31"/>
      <c r="QYY19" s="31"/>
      <c r="QYZ19" s="31"/>
      <c r="QZA19" s="31"/>
      <c r="QZB19" s="31"/>
      <c r="QZC19" s="31"/>
      <c r="QZD19" s="31"/>
      <c r="QZE19" s="31"/>
      <c r="QZF19" s="31"/>
      <c r="QZG19" s="31"/>
      <c r="QZH19" s="31"/>
      <c r="QZI19" s="31"/>
      <c r="QZJ19" s="31"/>
      <c r="QZK19" s="31"/>
      <c r="QZZ19" s="33"/>
      <c r="RAA19" s="31"/>
      <c r="RAB19" s="31"/>
      <c r="RAC19" s="48"/>
      <c r="RAD19" s="31"/>
      <c r="RAE19" s="31"/>
      <c r="RAF19" s="31"/>
      <c r="RAG19" s="31"/>
      <c r="RAH19" s="31"/>
      <c r="RAI19" s="31"/>
      <c r="RAJ19" s="31"/>
      <c r="RAK19" s="31"/>
      <c r="RAL19" s="31"/>
      <c r="RAM19" s="31"/>
      <c r="RAN19" s="31"/>
      <c r="RAO19" s="31"/>
      <c r="RAP19" s="31"/>
      <c r="RAQ19" s="31"/>
      <c r="RBF19" s="33"/>
      <c r="RBG19" s="31"/>
      <c r="RBH19" s="31"/>
      <c r="RBI19" s="48"/>
      <c r="RBJ19" s="31"/>
      <c r="RBK19" s="31"/>
      <c r="RBL19" s="31"/>
      <c r="RBM19" s="31"/>
      <c r="RBN19" s="31"/>
      <c r="RBO19" s="31"/>
      <c r="RBP19" s="31"/>
      <c r="RBQ19" s="31"/>
      <c r="RBR19" s="31"/>
      <c r="RBS19" s="31"/>
      <c r="RBT19" s="31"/>
      <c r="RBU19" s="31"/>
      <c r="RBV19" s="31"/>
      <c r="RBW19" s="31"/>
      <c r="RCL19" s="33"/>
      <c r="RCM19" s="31"/>
      <c r="RCN19" s="31"/>
      <c r="RCO19" s="48"/>
      <c r="RCP19" s="31"/>
      <c r="RCQ19" s="31"/>
      <c r="RCR19" s="31"/>
      <c r="RCS19" s="31"/>
      <c r="RCT19" s="31"/>
      <c r="RCU19" s="31"/>
      <c r="RCV19" s="31"/>
      <c r="RCW19" s="31"/>
      <c r="RCX19" s="31"/>
      <c r="RCY19" s="31"/>
      <c r="RCZ19" s="31"/>
      <c r="RDA19" s="31"/>
      <c r="RDB19" s="31"/>
      <c r="RDC19" s="31"/>
      <c r="RDR19" s="33"/>
      <c r="RDS19" s="31"/>
      <c r="RDT19" s="31"/>
      <c r="RDU19" s="48"/>
      <c r="RDV19" s="31"/>
      <c r="RDW19" s="31"/>
      <c r="RDX19" s="31"/>
      <c r="RDY19" s="31"/>
      <c r="RDZ19" s="31"/>
      <c r="REA19" s="31"/>
      <c r="REB19" s="31"/>
      <c r="REC19" s="31"/>
      <c r="RED19" s="31"/>
      <c r="REE19" s="31"/>
      <c r="REF19" s="31"/>
      <c r="REG19" s="31"/>
      <c r="REH19" s="31"/>
      <c r="REI19" s="31"/>
      <c r="REX19" s="33"/>
      <c r="REY19" s="31"/>
      <c r="REZ19" s="31"/>
      <c r="RFA19" s="48"/>
      <c r="RFB19" s="31"/>
      <c r="RFC19" s="31"/>
      <c r="RFD19" s="31"/>
      <c r="RFE19" s="31"/>
      <c r="RFF19" s="31"/>
      <c r="RFG19" s="31"/>
      <c r="RFH19" s="31"/>
      <c r="RFI19" s="31"/>
      <c r="RFJ19" s="31"/>
      <c r="RFK19" s="31"/>
      <c r="RFL19" s="31"/>
      <c r="RFM19" s="31"/>
      <c r="RFN19" s="31"/>
      <c r="RFO19" s="31"/>
      <c r="RGD19" s="33"/>
      <c r="RGE19" s="31"/>
      <c r="RGF19" s="31"/>
      <c r="RGG19" s="48"/>
      <c r="RGH19" s="31"/>
      <c r="RGI19" s="31"/>
      <c r="RGJ19" s="31"/>
      <c r="RGK19" s="31"/>
      <c r="RGL19" s="31"/>
      <c r="RGM19" s="31"/>
      <c r="RGN19" s="31"/>
      <c r="RGO19" s="31"/>
      <c r="RGP19" s="31"/>
      <c r="RGQ19" s="31"/>
      <c r="RGR19" s="31"/>
      <c r="RGS19" s="31"/>
      <c r="RGT19" s="31"/>
      <c r="RGU19" s="31"/>
      <c r="RHJ19" s="33"/>
      <c r="RHK19" s="31"/>
      <c r="RHL19" s="31"/>
      <c r="RHM19" s="48"/>
      <c r="RHN19" s="31"/>
      <c r="RHO19" s="31"/>
      <c r="RHP19" s="31"/>
      <c r="RHQ19" s="31"/>
      <c r="RHR19" s="31"/>
      <c r="RHS19" s="31"/>
      <c r="RHT19" s="31"/>
      <c r="RHU19" s="31"/>
      <c r="RHV19" s="31"/>
      <c r="RHW19" s="31"/>
      <c r="RHX19" s="31"/>
      <c r="RHY19" s="31"/>
      <c r="RHZ19" s="31"/>
      <c r="RIA19" s="31"/>
      <c r="RIP19" s="33"/>
      <c r="RIQ19" s="31"/>
      <c r="RIR19" s="31"/>
      <c r="RIS19" s="48"/>
      <c r="RIT19" s="31"/>
      <c r="RIU19" s="31"/>
      <c r="RIV19" s="31"/>
      <c r="RIW19" s="31"/>
      <c r="RIX19" s="31"/>
      <c r="RIY19" s="31"/>
      <c r="RIZ19" s="31"/>
      <c r="RJA19" s="31"/>
      <c r="RJB19" s="31"/>
      <c r="RJC19" s="31"/>
      <c r="RJD19" s="31"/>
      <c r="RJE19" s="31"/>
      <c r="RJF19" s="31"/>
      <c r="RJG19" s="31"/>
      <c r="RJV19" s="33"/>
      <c r="RJW19" s="31"/>
      <c r="RJX19" s="31"/>
      <c r="RJY19" s="48"/>
      <c r="RJZ19" s="31"/>
      <c r="RKA19" s="31"/>
      <c r="RKB19" s="31"/>
      <c r="RKC19" s="31"/>
      <c r="RKD19" s="31"/>
      <c r="RKE19" s="31"/>
      <c r="RKF19" s="31"/>
      <c r="RKG19" s="31"/>
      <c r="RKH19" s="31"/>
      <c r="RKI19" s="31"/>
      <c r="RKJ19" s="31"/>
      <c r="RKK19" s="31"/>
      <c r="RKL19" s="31"/>
      <c r="RKM19" s="31"/>
      <c r="RLB19" s="33"/>
      <c r="RLC19" s="31"/>
      <c r="RLD19" s="31"/>
      <c r="RLE19" s="48"/>
      <c r="RLF19" s="31"/>
      <c r="RLG19" s="31"/>
      <c r="RLH19" s="31"/>
      <c r="RLI19" s="31"/>
      <c r="RLJ19" s="31"/>
      <c r="RLK19" s="31"/>
      <c r="RLL19" s="31"/>
      <c r="RLM19" s="31"/>
      <c r="RLN19" s="31"/>
      <c r="RLO19" s="31"/>
      <c r="RLP19" s="31"/>
      <c r="RLQ19" s="31"/>
      <c r="RLR19" s="31"/>
      <c r="RLS19" s="31"/>
      <c r="RMH19" s="33"/>
      <c r="RMI19" s="31"/>
      <c r="RMJ19" s="31"/>
      <c r="RMK19" s="48"/>
      <c r="RML19" s="31"/>
      <c r="RMM19" s="31"/>
      <c r="RMN19" s="31"/>
      <c r="RMO19" s="31"/>
      <c r="RMP19" s="31"/>
      <c r="RMQ19" s="31"/>
      <c r="RMR19" s="31"/>
      <c r="RMS19" s="31"/>
      <c r="RMT19" s="31"/>
      <c r="RMU19" s="31"/>
      <c r="RMV19" s="31"/>
      <c r="RMW19" s="31"/>
      <c r="RMX19" s="31"/>
      <c r="RMY19" s="31"/>
      <c r="RNN19" s="33"/>
      <c r="RNO19" s="31"/>
      <c r="RNP19" s="31"/>
      <c r="RNQ19" s="48"/>
      <c r="RNR19" s="31"/>
      <c r="RNS19" s="31"/>
      <c r="RNT19" s="31"/>
      <c r="RNU19" s="31"/>
      <c r="RNV19" s="31"/>
      <c r="RNW19" s="31"/>
      <c r="RNX19" s="31"/>
      <c r="RNY19" s="31"/>
      <c r="RNZ19" s="31"/>
      <c r="ROA19" s="31"/>
      <c r="ROB19" s="31"/>
      <c r="ROC19" s="31"/>
      <c r="ROD19" s="31"/>
      <c r="ROE19" s="31"/>
      <c r="ROT19" s="33"/>
      <c r="ROU19" s="31"/>
      <c r="ROV19" s="31"/>
      <c r="ROW19" s="48"/>
      <c r="ROX19" s="31"/>
      <c r="ROY19" s="31"/>
      <c r="ROZ19" s="31"/>
      <c r="RPA19" s="31"/>
      <c r="RPB19" s="31"/>
      <c r="RPC19" s="31"/>
      <c r="RPD19" s="31"/>
      <c r="RPE19" s="31"/>
      <c r="RPF19" s="31"/>
      <c r="RPG19" s="31"/>
      <c r="RPH19" s="31"/>
      <c r="RPI19" s="31"/>
      <c r="RPJ19" s="31"/>
      <c r="RPK19" s="31"/>
      <c r="RPZ19" s="33"/>
      <c r="RQA19" s="31"/>
      <c r="RQB19" s="31"/>
      <c r="RQC19" s="48"/>
      <c r="RQD19" s="31"/>
      <c r="RQE19" s="31"/>
      <c r="RQF19" s="31"/>
      <c r="RQG19" s="31"/>
      <c r="RQH19" s="31"/>
      <c r="RQI19" s="31"/>
      <c r="RQJ19" s="31"/>
      <c r="RQK19" s="31"/>
      <c r="RQL19" s="31"/>
      <c r="RQM19" s="31"/>
      <c r="RQN19" s="31"/>
      <c r="RQO19" s="31"/>
      <c r="RQP19" s="31"/>
      <c r="RQQ19" s="31"/>
      <c r="RRF19" s="33"/>
      <c r="RRG19" s="31"/>
      <c r="RRH19" s="31"/>
      <c r="RRI19" s="48"/>
      <c r="RRJ19" s="31"/>
      <c r="RRK19" s="31"/>
      <c r="RRL19" s="31"/>
      <c r="RRM19" s="31"/>
      <c r="RRN19" s="31"/>
      <c r="RRO19" s="31"/>
      <c r="RRP19" s="31"/>
      <c r="RRQ19" s="31"/>
      <c r="RRR19" s="31"/>
      <c r="RRS19" s="31"/>
      <c r="RRT19" s="31"/>
      <c r="RRU19" s="31"/>
      <c r="RRV19" s="31"/>
      <c r="RRW19" s="31"/>
      <c r="RSL19" s="33"/>
      <c r="RSM19" s="31"/>
      <c r="RSN19" s="31"/>
      <c r="RSO19" s="48"/>
      <c r="RSP19" s="31"/>
      <c r="RSQ19" s="31"/>
      <c r="RSR19" s="31"/>
      <c r="RSS19" s="31"/>
      <c r="RST19" s="31"/>
      <c r="RSU19" s="31"/>
      <c r="RSV19" s="31"/>
      <c r="RSW19" s="31"/>
      <c r="RSX19" s="31"/>
      <c r="RSY19" s="31"/>
      <c r="RSZ19" s="31"/>
      <c r="RTA19" s="31"/>
      <c r="RTB19" s="31"/>
      <c r="RTC19" s="31"/>
      <c r="RTR19" s="33"/>
      <c r="RTS19" s="31"/>
      <c r="RTT19" s="31"/>
      <c r="RTU19" s="48"/>
      <c r="RTV19" s="31"/>
      <c r="RTW19" s="31"/>
      <c r="RTX19" s="31"/>
      <c r="RTY19" s="31"/>
      <c r="RTZ19" s="31"/>
      <c r="RUA19" s="31"/>
      <c r="RUB19" s="31"/>
      <c r="RUC19" s="31"/>
      <c r="RUD19" s="31"/>
      <c r="RUE19" s="31"/>
      <c r="RUF19" s="31"/>
      <c r="RUG19" s="31"/>
      <c r="RUH19" s="31"/>
      <c r="RUI19" s="31"/>
      <c r="RUX19" s="33"/>
      <c r="RUY19" s="31"/>
      <c r="RUZ19" s="31"/>
      <c r="RVA19" s="48"/>
      <c r="RVB19" s="31"/>
      <c r="RVC19" s="31"/>
      <c r="RVD19" s="31"/>
      <c r="RVE19" s="31"/>
      <c r="RVF19" s="31"/>
      <c r="RVG19" s="31"/>
      <c r="RVH19" s="31"/>
      <c r="RVI19" s="31"/>
      <c r="RVJ19" s="31"/>
      <c r="RVK19" s="31"/>
      <c r="RVL19" s="31"/>
      <c r="RVM19" s="31"/>
      <c r="RVN19" s="31"/>
      <c r="RVO19" s="31"/>
      <c r="RWD19" s="33"/>
      <c r="RWE19" s="31"/>
      <c r="RWF19" s="31"/>
      <c r="RWG19" s="48"/>
      <c r="RWH19" s="31"/>
      <c r="RWI19" s="31"/>
      <c r="RWJ19" s="31"/>
      <c r="RWK19" s="31"/>
      <c r="RWL19" s="31"/>
      <c r="RWM19" s="31"/>
      <c r="RWN19" s="31"/>
      <c r="RWO19" s="31"/>
      <c r="RWP19" s="31"/>
      <c r="RWQ19" s="31"/>
      <c r="RWR19" s="31"/>
      <c r="RWS19" s="31"/>
      <c r="RWT19" s="31"/>
      <c r="RWU19" s="31"/>
      <c r="RXJ19" s="33"/>
      <c r="RXK19" s="31"/>
      <c r="RXL19" s="31"/>
      <c r="RXM19" s="48"/>
      <c r="RXN19" s="31"/>
      <c r="RXO19" s="31"/>
      <c r="RXP19" s="31"/>
      <c r="RXQ19" s="31"/>
      <c r="RXR19" s="31"/>
      <c r="RXS19" s="31"/>
      <c r="RXT19" s="31"/>
      <c r="RXU19" s="31"/>
      <c r="RXV19" s="31"/>
      <c r="RXW19" s="31"/>
      <c r="RXX19" s="31"/>
      <c r="RXY19" s="31"/>
      <c r="RXZ19" s="31"/>
      <c r="RYA19" s="31"/>
      <c r="RYP19" s="33"/>
      <c r="RYQ19" s="31"/>
      <c r="RYR19" s="31"/>
      <c r="RYS19" s="48"/>
      <c r="RYT19" s="31"/>
      <c r="RYU19" s="31"/>
      <c r="RYV19" s="31"/>
      <c r="RYW19" s="31"/>
      <c r="RYX19" s="31"/>
      <c r="RYY19" s="31"/>
      <c r="RYZ19" s="31"/>
      <c r="RZA19" s="31"/>
      <c r="RZB19" s="31"/>
      <c r="RZC19" s="31"/>
      <c r="RZD19" s="31"/>
      <c r="RZE19" s="31"/>
      <c r="RZF19" s="31"/>
      <c r="RZG19" s="31"/>
      <c r="RZV19" s="33"/>
      <c r="RZW19" s="31"/>
      <c r="RZX19" s="31"/>
      <c r="RZY19" s="48"/>
      <c r="RZZ19" s="31"/>
      <c r="SAA19" s="31"/>
      <c r="SAB19" s="31"/>
      <c r="SAC19" s="31"/>
      <c r="SAD19" s="31"/>
      <c r="SAE19" s="31"/>
      <c r="SAF19" s="31"/>
      <c r="SAG19" s="31"/>
      <c r="SAH19" s="31"/>
      <c r="SAI19" s="31"/>
      <c r="SAJ19" s="31"/>
      <c r="SAK19" s="31"/>
      <c r="SAL19" s="31"/>
      <c r="SAM19" s="31"/>
      <c r="SBB19" s="33"/>
      <c r="SBC19" s="31"/>
      <c r="SBD19" s="31"/>
      <c r="SBE19" s="48"/>
      <c r="SBF19" s="31"/>
      <c r="SBG19" s="31"/>
      <c r="SBH19" s="31"/>
      <c r="SBI19" s="31"/>
      <c r="SBJ19" s="31"/>
      <c r="SBK19" s="31"/>
      <c r="SBL19" s="31"/>
      <c r="SBM19" s="31"/>
      <c r="SBN19" s="31"/>
      <c r="SBO19" s="31"/>
      <c r="SBP19" s="31"/>
      <c r="SBQ19" s="31"/>
      <c r="SBR19" s="31"/>
      <c r="SBS19" s="31"/>
      <c r="SCH19" s="33"/>
      <c r="SCI19" s="31"/>
      <c r="SCJ19" s="31"/>
      <c r="SCK19" s="48"/>
      <c r="SCL19" s="31"/>
      <c r="SCM19" s="31"/>
      <c r="SCN19" s="31"/>
      <c r="SCO19" s="31"/>
      <c r="SCP19" s="31"/>
      <c r="SCQ19" s="31"/>
      <c r="SCR19" s="31"/>
      <c r="SCS19" s="31"/>
      <c r="SCT19" s="31"/>
      <c r="SCU19" s="31"/>
      <c r="SCV19" s="31"/>
      <c r="SCW19" s="31"/>
      <c r="SCX19" s="31"/>
      <c r="SCY19" s="31"/>
      <c r="SDN19" s="33"/>
      <c r="SDO19" s="31"/>
      <c r="SDP19" s="31"/>
      <c r="SDQ19" s="48"/>
      <c r="SDR19" s="31"/>
      <c r="SDS19" s="31"/>
      <c r="SDT19" s="31"/>
      <c r="SDU19" s="31"/>
      <c r="SDV19" s="31"/>
      <c r="SDW19" s="31"/>
      <c r="SDX19" s="31"/>
      <c r="SDY19" s="31"/>
      <c r="SDZ19" s="31"/>
      <c r="SEA19" s="31"/>
      <c r="SEB19" s="31"/>
      <c r="SEC19" s="31"/>
      <c r="SED19" s="31"/>
      <c r="SEE19" s="31"/>
      <c r="SET19" s="33"/>
      <c r="SEU19" s="31"/>
      <c r="SEV19" s="31"/>
      <c r="SEW19" s="48"/>
      <c r="SEX19" s="31"/>
      <c r="SEY19" s="31"/>
      <c r="SEZ19" s="31"/>
      <c r="SFA19" s="31"/>
      <c r="SFB19" s="31"/>
      <c r="SFC19" s="31"/>
      <c r="SFD19" s="31"/>
      <c r="SFE19" s="31"/>
      <c r="SFF19" s="31"/>
      <c r="SFG19" s="31"/>
      <c r="SFH19" s="31"/>
      <c r="SFI19" s="31"/>
      <c r="SFJ19" s="31"/>
      <c r="SFK19" s="31"/>
      <c r="SFZ19" s="33"/>
      <c r="SGA19" s="31"/>
      <c r="SGB19" s="31"/>
      <c r="SGC19" s="48"/>
      <c r="SGD19" s="31"/>
      <c r="SGE19" s="31"/>
      <c r="SGF19" s="31"/>
      <c r="SGG19" s="31"/>
      <c r="SGH19" s="31"/>
      <c r="SGI19" s="31"/>
      <c r="SGJ19" s="31"/>
      <c r="SGK19" s="31"/>
      <c r="SGL19" s="31"/>
      <c r="SGM19" s="31"/>
      <c r="SGN19" s="31"/>
      <c r="SGO19" s="31"/>
      <c r="SGP19" s="31"/>
      <c r="SGQ19" s="31"/>
      <c r="SHF19" s="33"/>
      <c r="SHG19" s="31"/>
      <c r="SHH19" s="31"/>
      <c r="SHI19" s="48"/>
      <c r="SHJ19" s="31"/>
      <c r="SHK19" s="31"/>
      <c r="SHL19" s="31"/>
      <c r="SHM19" s="31"/>
      <c r="SHN19" s="31"/>
      <c r="SHO19" s="31"/>
      <c r="SHP19" s="31"/>
      <c r="SHQ19" s="31"/>
      <c r="SHR19" s="31"/>
      <c r="SHS19" s="31"/>
      <c r="SHT19" s="31"/>
      <c r="SHU19" s="31"/>
      <c r="SHV19" s="31"/>
      <c r="SHW19" s="31"/>
      <c r="SIL19" s="33"/>
      <c r="SIM19" s="31"/>
      <c r="SIN19" s="31"/>
      <c r="SIO19" s="48"/>
      <c r="SIP19" s="31"/>
      <c r="SIQ19" s="31"/>
      <c r="SIR19" s="31"/>
      <c r="SIS19" s="31"/>
      <c r="SIT19" s="31"/>
      <c r="SIU19" s="31"/>
      <c r="SIV19" s="31"/>
      <c r="SIW19" s="31"/>
      <c r="SIX19" s="31"/>
      <c r="SIY19" s="31"/>
      <c r="SIZ19" s="31"/>
      <c r="SJA19" s="31"/>
      <c r="SJB19" s="31"/>
      <c r="SJC19" s="31"/>
      <c r="SJR19" s="33"/>
      <c r="SJS19" s="31"/>
      <c r="SJT19" s="31"/>
      <c r="SJU19" s="48"/>
      <c r="SJV19" s="31"/>
      <c r="SJW19" s="31"/>
      <c r="SJX19" s="31"/>
      <c r="SJY19" s="31"/>
      <c r="SJZ19" s="31"/>
      <c r="SKA19" s="31"/>
      <c r="SKB19" s="31"/>
      <c r="SKC19" s="31"/>
      <c r="SKD19" s="31"/>
      <c r="SKE19" s="31"/>
      <c r="SKF19" s="31"/>
      <c r="SKG19" s="31"/>
      <c r="SKH19" s="31"/>
      <c r="SKI19" s="31"/>
      <c r="SKX19" s="33"/>
      <c r="SKY19" s="31"/>
      <c r="SKZ19" s="31"/>
      <c r="SLA19" s="48"/>
      <c r="SLB19" s="31"/>
      <c r="SLC19" s="31"/>
      <c r="SLD19" s="31"/>
      <c r="SLE19" s="31"/>
      <c r="SLF19" s="31"/>
      <c r="SLG19" s="31"/>
      <c r="SLH19" s="31"/>
      <c r="SLI19" s="31"/>
      <c r="SLJ19" s="31"/>
      <c r="SLK19" s="31"/>
      <c r="SLL19" s="31"/>
      <c r="SLM19" s="31"/>
      <c r="SLN19" s="31"/>
      <c r="SLO19" s="31"/>
      <c r="SMD19" s="33"/>
      <c r="SME19" s="31"/>
      <c r="SMF19" s="31"/>
      <c r="SMG19" s="48"/>
      <c r="SMH19" s="31"/>
      <c r="SMI19" s="31"/>
      <c r="SMJ19" s="31"/>
      <c r="SMK19" s="31"/>
      <c r="SML19" s="31"/>
      <c r="SMM19" s="31"/>
      <c r="SMN19" s="31"/>
      <c r="SMO19" s="31"/>
      <c r="SMP19" s="31"/>
      <c r="SMQ19" s="31"/>
      <c r="SMR19" s="31"/>
      <c r="SMS19" s="31"/>
      <c r="SMT19" s="31"/>
      <c r="SMU19" s="31"/>
      <c r="SNJ19" s="33"/>
      <c r="SNK19" s="31"/>
      <c r="SNL19" s="31"/>
      <c r="SNM19" s="48"/>
      <c r="SNN19" s="31"/>
      <c r="SNO19" s="31"/>
      <c r="SNP19" s="31"/>
      <c r="SNQ19" s="31"/>
      <c r="SNR19" s="31"/>
      <c r="SNS19" s="31"/>
      <c r="SNT19" s="31"/>
      <c r="SNU19" s="31"/>
      <c r="SNV19" s="31"/>
      <c r="SNW19" s="31"/>
      <c r="SNX19" s="31"/>
      <c r="SNY19" s="31"/>
      <c r="SNZ19" s="31"/>
      <c r="SOA19" s="31"/>
      <c r="SOP19" s="33"/>
      <c r="SOQ19" s="31"/>
      <c r="SOR19" s="31"/>
      <c r="SOS19" s="48"/>
      <c r="SOT19" s="31"/>
      <c r="SOU19" s="31"/>
      <c r="SOV19" s="31"/>
      <c r="SOW19" s="31"/>
      <c r="SOX19" s="31"/>
      <c r="SOY19" s="31"/>
      <c r="SOZ19" s="31"/>
      <c r="SPA19" s="31"/>
      <c r="SPB19" s="31"/>
      <c r="SPC19" s="31"/>
      <c r="SPD19" s="31"/>
      <c r="SPE19" s="31"/>
      <c r="SPF19" s="31"/>
      <c r="SPG19" s="31"/>
      <c r="SPV19" s="33"/>
      <c r="SPW19" s="31"/>
      <c r="SPX19" s="31"/>
      <c r="SPY19" s="48"/>
      <c r="SPZ19" s="31"/>
      <c r="SQA19" s="31"/>
      <c r="SQB19" s="31"/>
      <c r="SQC19" s="31"/>
      <c r="SQD19" s="31"/>
      <c r="SQE19" s="31"/>
      <c r="SQF19" s="31"/>
      <c r="SQG19" s="31"/>
      <c r="SQH19" s="31"/>
      <c r="SQI19" s="31"/>
      <c r="SQJ19" s="31"/>
      <c r="SQK19" s="31"/>
      <c r="SQL19" s="31"/>
      <c r="SQM19" s="31"/>
      <c r="SRB19" s="33"/>
      <c r="SRC19" s="31"/>
      <c r="SRD19" s="31"/>
      <c r="SRE19" s="48"/>
      <c r="SRF19" s="31"/>
      <c r="SRG19" s="31"/>
      <c r="SRH19" s="31"/>
      <c r="SRI19" s="31"/>
      <c r="SRJ19" s="31"/>
      <c r="SRK19" s="31"/>
      <c r="SRL19" s="31"/>
      <c r="SRM19" s="31"/>
      <c r="SRN19" s="31"/>
      <c r="SRO19" s="31"/>
      <c r="SRP19" s="31"/>
      <c r="SRQ19" s="31"/>
      <c r="SRR19" s="31"/>
      <c r="SRS19" s="31"/>
      <c r="SSH19" s="33"/>
      <c r="SSI19" s="31"/>
      <c r="SSJ19" s="31"/>
      <c r="SSK19" s="48"/>
      <c r="SSL19" s="31"/>
      <c r="SSM19" s="31"/>
      <c r="SSN19" s="31"/>
      <c r="SSO19" s="31"/>
      <c r="SSP19" s="31"/>
      <c r="SSQ19" s="31"/>
      <c r="SSR19" s="31"/>
      <c r="SSS19" s="31"/>
      <c r="SST19" s="31"/>
      <c r="SSU19" s="31"/>
      <c r="SSV19" s="31"/>
      <c r="SSW19" s="31"/>
      <c r="SSX19" s="31"/>
      <c r="SSY19" s="31"/>
      <c r="STN19" s="33"/>
      <c r="STO19" s="31"/>
      <c r="STP19" s="31"/>
      <c r="STQ19" s="48"/>
      <c r="STR19" s="31"/>
      <c r="STS19" s="31"/>
      <c r="STT19" s="31"/>
      <c r="STU19" s="31"/>
      <c r="STV19" s="31"/>
      <c r="STW19" s="31"/>
      <c r="STX19" s="31"/>
      <c r="STY19" s="31"/>
      <c r="STZ19" s="31"/>
      <c r="SUA19" s="31"/>
      <c r="SUB19" s="31"/>
      <c r="SUC19" s="31"/>
      <c r="SUD19" s="31"/>
      <c r="SUE19" s="31"/>
      <c r="SUT19" s="33"/>
      <c r="SUU19" s="31"/>
      <c r="SUV19" s="31"/>
      <c r="SUW19" s="48"/>
      <c r="SUX19" s="31"/>
      <c r="SUY19" s="31"/>
      <c r="SUZ19" s="31"/>
      <c r="SVA19" s="31"/>
      <c r="SVB19" s="31"/>
      <c r="SVC19" s="31"/>
      <c r="SVD19" s="31"/>
      <c r="SVE19" s="31"/>
      <c r="SVF19" s="31"/>
      <c r="SVG19" s="31"/>
      <c r="SVH19" s="31"/>
      <c r="SVI19" s="31"/>
      <c r="SVJ19" s="31"/>
      <c r="SVK19" s="31"/>
      <c r="SVZ19" s="33"/>
      <c r="SWA19" s="31"/>
      <c r="SWB19" s="31"/>
      <c r="SWC19" s="48"/>
      <c r="SWD19" s="31"/>
      <c r="SWE19" s="31"/>
      <c r="SWF19" s="31"/>
      <c r="SWG19" s="31"/>
      <c r="SWH19" s="31"/>
      <c r="SWI19" s="31"/>
      <c r="SWJ19" s="31"/>
      <c r="SWK19" s="31"/>
      <c r="SWL19" s="31"/>
      <c r="SWM19" s="31"/>
      <c r="SWN19" s="31"/>
      <c r="SWO19" s="31"/>
      <c r="SWP19" s="31"/>
      <c r="SWQ19" s="31"/>
      <c r="SXF19" s="33"/>
      <c r="SXG19" s="31"/>
      <c r="SXH19" s="31"/>
      <c r="SXI19" s="48"/>
      <c r="SXJ19" s="31"/>
      <c r="SXK19" s="31"/>
      <c r="SXL19" s="31"/>
      <c r="SXM19" s="31"/>
      <c r="SXN19" s="31"/>
      <c r="SXO19" s="31"/>
      <c r="SXP19" s="31"/>
      <c r="SXQ19" s="31"/>
      <c r="SXR19" s="31"/>
      <c r="SXS19" s="31"/>
      <c r="SXT19" s="31"/>
      <c r="SXU19" s="31"/>
      <c r="SXV19" s="31"/>
      <c r="SXW19" s="31"/>
      <c r="SYL19" s="33"/>
      <c r="SYM19" s="31"/>
      <c r="SYN19" s="31"/>
      <c r="SYO19" s="48"/>
      <c r="SYP19" s="31"/>
      <c r="SYQ19" s="31"/>
      <c r="SYR19" s="31"/>
      <c r="SYS19" s="31"/>
      <c r="SYT19" s="31"/>
      <c r="SYU19" s="31"/>
      <c r="SYV19" s="31"/>
      <c r="SYW19" s="31"/>
      <c r="SYX19" s="31"/>
      <c r="SYY19" s="31"/>
      <c r="SYZ19" s="31"/>
      <c r="SZA19" s="31"/>
      <c r="SZB19" s="31"/>
      <c r="SZC19" s="31"/>
      <c r="SZR19" s="33"/>
      <c r="SZS19" s="31"/>
      <c r="SZT19" s="31"/>
      <c r="SZU19" s="48"/>
      <c r="SZV19" s="31"/>
      <c r="SZW19" s="31"/>
      <c r="SZX19" s="31"/>
      <c r="SZY19" s="31"/>
      <c r="SZZ19" s="31"/>
      <c r="TAA19" s="31"/>
      <c r="TAB19" s="31"/>
      <c r="TAC19" s="31"/>
      <c r="TAD19" s="31"/>
      <c r="TAE19" s="31"/>
      <c r="TAF19" s="31"/>
      <c r="TAG19" s="31"/>
      <c r="TAH19" s="31"/>
      <c r="TAI19" s="31"/>
      <c r="TAX19" s="33"/>
      <c r="TAY19" s="31"/>
      <c r="TAZ19" s="31"/>
      <c r="TBA19" s="48"/>
      <c r="TBB19" s="31"/>
      <c r="TBC19" s="31"/>
      <c r="TBD19" s="31"/>
      <c r="TBE19" s="31"/>
      <c r="TBF19" s="31"/>
      <c r="TBG19" s="31"/>
      <c r="TBH19" s="31"/>
      <c r="TBI19" s="31"/>
      <c r="TBJ19" s="31"/>
      <c r="TBK19" s="31"/>
      <c r="TBL19" s="31"/>
      <c r="TBM19" s="31"/>
      <c r="TBN19" s="31"/>
      <c r="TBO19" s="31"/>
      <c r="TCD19" s="33"/>
      <c r="TCE19" s="31"/>
      <c r="TCF19" s="31"/>
      <c r="TCG19" s="48"/>
      <c r="TCH19" s="31"/>
      <c r="TCI19" s="31"/>
      <c r="TCJ19" s="31"/>
      <c r="TCK19" s="31"/>
      <c r="TCL19" s="31"/>
      <c r="TCM19" s="31"/>
      <c r="TCN19" s="31"/>
      <c r="TCO19" s="31"/>
      <c r="TCP19" s="31"/>
      <c r="TCQ19" s="31"/>
      <c r="TCR19" s="31"/>
      <c r="TCS19" s="31"/>
      <c r="TCT19" s="31"/>
      <c r="TCU19" s="31"/>
      <c r="TDJ19" s="33"/>
      <c r="TDK19" s="31"/>
      <c r="TDL19" s="31"/>
      <c r="TDM19" s="48"/>
      <c r="TDN19" s="31"/>
      <c r="TDO19" s="31"/>
      <c r="TDP19" s="31"/>
      <c r="TDQ19" s="31"/>
      <c r="TDR19" s="31"/>
      <c r="TDS19" s="31"/>
      <c r="TDT19" s="31"/>
      <c r="TDU19" s="31"/>
      <c r="TDV19" s="31"/>
      <c r="TDW19" s="31"/>
      <c r="TDX19" s="31"/>
      <c r="TDY19" s="31"/>
      <c r="TDZ19" s="31"/>
      <c r="TEA19" s="31"/>
      <c r="TEP19" s="33"/>
      <c r="TEQ19" s="31"/>
      <c r="TER19" s="31"/>
      <c r="TES19" s="48"/>
      <c r="TET19" s="31"/>
      <c r="TEU19" s="31"/>
      <c r="TEV19" s="31"/>
      <c r="TEW19" s="31"/>
      <c r="TEX19" s="31"/>
      <c r="TEY19" s="31"/>
      <c r="TEZ19" s="31"/>
      <c r="TFA19" s="31"/>
      <c r="TFB19" s="31"/>
      <c r="TFC19" s="31"/>
      <c r="TFD19" s="31"/>
      <c r="TFE19" s="31"/>
      <c r="TFF19" s="31"/>
      <c r="TFG19" s="31"/>
      <c r="TFV19" s="33"/>
      <c r="TFW19" s="31"/>
      <c r="TFX19" s="31"/>
      <c r="TFY19" s="48"/>
      <c r="TFZ19" s="31"/>
      <c r="TGA19" s="31"/>
      <c r="TGB19" s="31"/>
      <c r="TGC19" s="31"/>
      <c r="TGD19" s="31"/>
      <c r="TGE19" s="31"/>
      <c r="TGF19" s="31"/>
      <c r="TGG19" s="31"/>
      <c r="TGH19" s="31"/>
      <c r="TGI19" s="31"/>
      <c r="TGJ19" s="31"/>
      <c r="TGK19" s="31"/>
      <c r="TGL19" s="31"/>
      <c r="TGM19" s="31"/>
      <c r="THB19" s="33"/>
      <c r="THC19" s="31"/>
      <c r="THD19" s="31"/>
      <c r="THE19" s="48"/>
      <c r="THF19" s="31"/>
      <c r="THG19" s="31"/>
      <c r="THH19" s="31"/>
      <c r="THI19" s="31"/>
      <c r="THJ19" s="31"/>
      <c r="THK19" s="31"/>
      <c r="THL19" s="31"/>
      <c r="THM19" s="31"/>
      <c r="THN19" s="31"/>
      <c r="THO19" s="31"/>
      <c r="THP19" s="31"/>
      <c r="THQ19" s="31"/>
      <c r="THR19" s="31"/>
      <c r="THS19" s="31"/>
      <c r="TIH19" s="33"/>
      <c r="TII19" s="31"/>
      <c r="TIJ19" s="31"/>
      <c r="TIK19" s="48"/>
      <c r="TIL19" s="31"/>
      <c r="TIM19" s="31"/>
      <c r="TIN19" s="31"/>
      <c r="TIO19" s="31"/>
      <c r="TIP19" s="31"/>
      <c r="TIQ19" s="31"/>
      <c r="TIR19" s="31"/>
      <c r="TIS19" s="31"/>
      <c r="TIT19" s="31"/>
      <c r="TIU19" s="31"/>
      <c r="TIV19" s="31"/>
      <c r="TIW19" s="31"/>
      <c r="TIX19" s="31"/>
      <c r="TIY19" s="31"/>
      <c r="TJN19" s="33"/>
      <c r="TJO19" s="31"/>
      <c r="TJP19" s="31"/>
      <c r="TJQ19" s="48"/>
      <c r="TJR19" s="31"/>
      <c r="TJS19" s="31"/>
      <c r="TJT19" s="31"/>
      <c r="TJU19" s="31"/>
      <c r="TJV19" s="31"/>
      <c r="TJW19" s="31"/>
      <c r="TJX19" s="31"/>
      <c r="TJY19" s="31"/>
      <c r="TJZ19" s="31"/>
      <c r="TKA19" s="31"/>
      <c r="TKB19" s="31"/>
      <c r="TKC19" s="31"/>
      <c r="TKD19" s="31"/>
      <c r="TKE19" s="31"/>
      <c r="TKT19" s="33"/>
      <c r="TKU19" s="31"/>
      <c r="TKV19" s="31"/>
      <c r="TKW19" s="48"/>
      <c r="TKX19" s="31"/>
      <c r="TKY19" s="31"/>
      <c r="TKZ19" s="31"/>
      <c r="TLA19" s="31"/>
      <c r="TLB19" s="31"/>
      <c r="TLC19" s="31"/>
      <c r="TLD19" s="31"/>
      <c r="TLE19" s="31"/>
      <c r="TLF19" s="31"/>
      <c r="TLG19" s="31"/>
      <c r="TLH19" s="31"/>
      <c r="TLI19" s="31"/>
      <c r="TLJ19" s="31"/>
      <c r="TLK19" s="31"/>
      <c r="TLZ19" s="33"/>
      <c r="TMA19" s="31"/>
      <c r="TMB19" s="31"/>
      <c r="TMC19" s="48"/>
      <c r="TMD19" s="31"/>
      <c r="TME19" s="31"/>
      <c r="TMF19" s="31"/>
      <c r="TMG19" s="31"/>
      <c r="TMH19" s="31"/>
      <c r="TMI19" s="31"/>
      <c r="TMJ19" s="31"/>
      <c r="TMK19" s="31"/>
      <c r="TML19" s="31"/>
      <c r="TMM19" s="31"/>
      <c r="TMN19" s="31"/>
      <c r="TMO19" s="31"/>
      <c r="TMP19" s="31"/>
      <c r="TMQ19" s="31"/>
      <c r="TNF19" s="33"/>
      <c r="TNG19" s="31"/>
      <c r="TNH19" s="31"/>
      <c r="TNI19" s="48"/>
      <c r="TNJ19" s="31"/>
      <c r="TNK19" s="31"/>
      <c r="TNL19" s="31"/>
      <c r="TNM19" s="31"/>
      <c r="TNN19" s="31"/>
      <c r="TNO19" s="31"/>
      <c r="TNP19" s="31"/>
      <c r="TNQ19" s="31"/>
      <c r="TNR19" s="31"/>
      <c r="TNS19" s="31"/>
      <c r="TNT19" s="31"/>
      <c r="TNU19" s="31"/>
      <c r="TNV19" s="31"/>
      <c r="TNW19" s="31"/>
      <c r="TOL19" s="33"/>
      <c r="TOM19" s="31"/>
      <c r="TON19" s="31"/>
      <c r="TOO19" s="48"/>
      <c r="TOP19" s="31"/>
      <c r="TOQ19" s="31"/>
      <c r="TOR19" s="31"/>
      <c r="TOS19" s="31"/>
      <c r="TOT19" s="31"/>
      <c r="TOU19" s="31"/>
      <c r="TOV19" s="31"/>
      <c r="TOW19" s="31"/>
      <c r="TOX19" s="31"/>
      <c r="TOY19" s="31"/>
      <c r="TOZ19" s="31"/>
      <c r="TPA19" s="31"/>
      <c r="TPB19" s="31"/>
      <c r="TPC19" s="31"/>
      <c r="TPR19" s="33"/>
      <c r="TPS19" s="31"/>
      <c r="TPT19" s="31"/>
      <c r="TPU19" s="48"/>
      <c r="TPV19" s="31"/>
      <c r="TPW19" s="31"/>
      <c r="TPX19" s="31"/>
      <c r="TPY19" s="31"/>
      <c r="TPZ19" s="31"/>
      <c r="TQA19" s="31"/>
      <c r="TQB19" s="31"/>
      <c r="TQC19" s="31"/>
      <c r="TQD19" s="31"/>
      <c r="TQE19" s="31"/>
      <c r="TQF19" s="31"/>
      <c r="TQG19" s="31"/>
      <c r="TQH19" s="31"/>
      <c r="TQI19" s="31"/>
      <c r="TQX19" s="33"/>
      <c r="TQY19" s="31"/>
      <c r="TQZ19" s="31"/>
      <c r="TRA19" s="48"/>
      <c r="TRB19" s="31"/>
      <c r="TRC19" s="31"/>
      <c r="TRD19" s="31"/>
      <c r="TRE19" s="31"/>
      <c r="TRF19" s="31"/>
      <c r="TRG19" s="31"/>
      <c r="TRH19" s="31"/>
      <c r="TRI19" s="31"/>
      <c r="TRJ19" s="31"/>
      <c r="TRK19" s="31"/>
      <c r="TRL19" s="31"/>
      <c r="TRM19" s="31"/>
      <c r="TRN19" s="31"/>
      <c r="TRO19" s="31"/>
      <c r="TSD19" s="33"/>
      <c r="TSE19" s="31"/>
      <c r="TSF19" s="31"/>
      <c r="TSG19" s="48"/>
      <c r="TSH19" s="31"/>
      <c r="TSI19" s="31"/>
      <c r="TSJ19" s="31"/>
      <c r="TSK19" s="31"/>
      <c r="TSL19" s="31"/>
      <c r="TSM19" s="31"/>
      <c r="TSN19" s="31"/>
      <c r="TSO19" s="31"/>
      <c r="TSP19" s="31"/>
      <c r="TSQ19" s="31"/>
      <c r="TSR19" s="31"/>
      <c r="TSS19" s="31"/>
      <c r="TST19" s="31"/>
      <c r="TSU19" s="31"/>
      <c r="TTJ19" s="33"/>
      <c r="TTK19" s="31"/>
      <c r="TTL19" s="31"/>
      <c r="TTM19" s="48"/>
      <c r="TTN19" s="31"/>
      <c r="TTO19" s="31"/>
      <c r="TTP19" s="31"/>
      <c r="TTQ19" s="31"/>
      <c r="TTR19" s="31"/>
      <c r="TTS19" s="31"/>
      <c r="TTT19" s="31"/>
      <c r="TTU19" s="31"/>
      <c r="TTV19" s="31"/>
      <c r="TTW19" s="31"/>
      <c r="TTX19" s="31"/>
      <c r="TTY19" s="31"/>
      <c r="TTZ19" s="31"/>
      <c r="TUA19" s="31"/>
      <c r="TUP19" s="33"/>
      <c r="TUQ19" s="31"/>
      <c r="TUR19" s="31"/>
      <c r="TUS19" s="48"/>
      <c r="TUT19" s="31"/>
      <c r="TUU19" s="31"/>
      <c r="TUV19" s="31"/>
      <c r="TUW19" s="31"/>
      <c r="TUX19" s="31"/>
      <c r="TUY19" s="31"/>
      <c r="TUZ19" s="31"/>
      <c r="TVA19" s="31"/>
      <c r="TVB19" s="31"/>
      <c r="TVC19" s="31"/>
      <c r="TVD19" s="31"/>
      <c r="TVE19" s="31"/>
      <c r="TVF19" s="31"/>
      <c r="TVG19" s="31"/>
      <c r="TVV19" s="33"/>
      <c r="TVW19" s="31"/>
      <c r="TVX19" s="31"/>
      <c r="TVY19" s="48"/>
      <c r="TVZ19" s="31"/>
      <c r="TWA19" s="31"/>
      <c r="TWB19" s="31"/>
      <c r="TWC19" s="31"/>
      <c r="TWD19" s="31"/>
      <c r="TWE19" s="31"/>
      <c r="TWF19" s="31"/>
      <c r="TWG19" s="31"/>
      <c r="TWH19" s="31"/>
      <c r="TWI19" s="31"/>
      <c r="TWJ19" s="31"/>
      <c r="TWK19" s="31"/>
      <c r="TWL19" s="31"/>
      <c r="TWM19" s="31"/>
      <c r="TXB19" s="33"/>
      <c r="TXC19" s="31"/>
      <c r="TXD19" s="31"/>
      <c r="TXE19" s="48"/>
      <c r="TXF19" s="31"/>
      <c r="TXG19" s="31"/>
      <c r="TXH19" s="31"/>
      <c r="TXI19" s="31"/>
      <c r="TXJ19" s="31"/>
      <c r="TXK19" s="31"/>
      <c r="TXL19" s="31"/>
      <c r="TXM19" s="31"/>
      <c r="TXN19" s="31"/>
      <c r="TXO19" s="31"/>
      <c r="TXP19" s="31"/>
      <c r="TXQ19" s="31"/>
      <c r="TXR19" s="31"/>
      <c r="TXS19" s="31"/>
      <c r="TYH19" s="33"/>
      <c r="TYI19" s="31"/>
      <c r="TYJ19" s="31"/>
      <c r="TYK19" s="48"/>
      <c r="TYL19" s="31"/>
      <c r="TYM19" s="31"/>
      <c r="TYN19" s="31"/>
      <c r="TYO19" s="31"/>
      <c r="TYP19" s="31"/>
      <c r="TYQ19" s="31"/>
      <c r="TYR19" s="31"/>
      <c r="TYS19" s="31"/>
      <c r="TYT19" s="31"/>
      <c r="TYU19" s="31"/>
      <c r="TYV19" s="31"/>
      <c r="TYW19" s="31"/>
      <c r="TYX19" s="31"/>
      <c r="TYY19" s="31"/>
      <c r="TZN19" s="33"/>
      <c r="TZO19" s="31"/>
      <c r="TZP19" s="31"/>
      <c r="TZQ19" s="48"/>
      <c r="TZR19" s="31"/>
      <c r="TZS19" s="31"/>
      <c r="TZT19" s="31"/>
      <c r="TZU19" s="31"/>
      <c r="TZV19" s="31"/>
      <c r="TZW19" s="31"/>
      <c r="TZX19" s="31"/>
      <c r="TZY19" s="31"/>
      <c r="TZZ19" s="31"/>
      <c r="UAA19" s="31"/>
      <c r="UAB19" s="31"/>
      <c r="UAC19" s="31"/>
      <c r="UAD19" s="31"/>
      <c r="UAE19" s="31"/>
      <c r="UAT19" s="33"/>
      <c r="UAU19" s="31"/>
      <c r="UAV19" s="31"/>
      <c r="UAW19" s="48"/>
      <c r="UAX19" s="31"/>
      <c r="UAY19" s="31"/>
      <c r="UAZ19" s="31"/>
      <c r="UBA19" s="31"/>
      <c r="UBB19" s="31"/>
      <c r="UBC19" s="31"/>
      <c r="UBD19" s="31"/>
      <c r="UBE19" s="31"/>
      <c r="UBF19" s="31"/>
      <c r="UBG19" s="31"/>
      <c r="UBH19" s="31"/>
      <c r="UBI19" s="31"/>
      <c r="UBJ19" s="31"/>
      <c r="UBK19" s="31"/>
      <c r="UBZ19" s="33"/>
      <c r="UCA19" s="31"/>
      <c r="UCB19" s="31"/>
      <c r="UCC19" s="48"/>
      <c r="UCD19" s="31"/>
      <c r="UCE19" s="31"/>
      <c r="UCF19" s="31"/>
      <c r="UCG19" s="31"/>
      <c r="UCH19" s="31"/>
      <c r="UCI19" s="31"/>
      <c r="UCJ19" s="31"/>
      <c r="UCK19" s="31"/>
      <c r="UCL19" s="31"/>
      <c r="UCM19" s="31"/>
      <c r="UCN19" s="31"/>
      <c r="UCO19" s="31"/>
      <c r="UCP19" s="31"/>
      <c r="UCQ19" s="31"/>
      <c r="UDF19" s="33"/>
      <c r="UDG19" s="31"/>
      <c r="UDH19" s="31"/>
      <c r="UDI19" s="48"/>
      <c r="UDJ19" s="31"/>
      <c r="UDK19" s="31"/>
      <c r="UDL19" s="31"/>
      <c r="UDM19" s="31"/>
      <c r="UDN19" s="31"/>
      <c r="UDO19" s="31"/>
      <c r="UDP19" s="31"/>
      <c r="UDQ19" s="31"/>
      <c r="UDR19" s="31"/>
      <c r="UDS19" s="31"/>
      <c r="UDT19" s="31"/>
      <c r="UDU19" s="31"/>
      <c r="UDV19" s="31"/>
      <c r="UDW19" s="31"/>
      <c r="UEL19" s="33"/>
      <c r="UEM19" s="31"/>
      <c r="UEN19" s="31"/>
      <c r="UEO19" s="48"/>
      <c r="UEP19" s="31"/>
      <c r="UEQ19" s="31"/>
      <c r="UER19" s="31"/>
      <c r="UES19" s="31"/>
      <c r="UET19" s="31"/>
      <c r="UEU19" s="31"/>
      <c r="UEV19" s="31"/>
      <c r="UEW19" s="31"/>
      <c r="UEX19" s="31"/>
      <c r="UEY19" s="31"/>
      <c r="UEZ19" s="31"/>
      <c r="UFA19" s="31"/>
      <c r="UFB19" s="31"/>
      <c r="UFC19" s="31"/>
      <c r="UFR19" s="33"/>
      <c r="UFS19" s="31"/>
      <c r="UFT19" s="31"/>
      <c r="UFU19" s="48"/>
      <c r="UFV19" s="31"/>
      <c r="UFW19" s="31"/>
      <c r="UFX19" s="31"/>
      <c r="UFY19" s="31"/>
      <c r="UFZ19" s="31"/>
      <c r="UGA19" s="31"/>
      <c r="UGB19" s="31"/>
      <c r="UGC19" s="31"/>
      <c r="UGD19" s="31"/>
      <c r="UGE19" s="31"/>
      <c r="UGF19" s="31"/>
      <c r="UGG19" s="31"/>
      <c r="UGH19" s="31"/>
      <c r="UGI19" s="31"/>
      <c r="UGX19" s="33"/>
      <c r="UGY19" s="31"/>
      <c r="UGZ19" s="31"/>
      <c r="UHA19" s="48"/>
      <c r="UHB19" s="31"/>
      <c r="UHC19" s="31"/>
      <c r="UHD19" s="31"/>
      <c r="UHE19" s="31"/>
      <c r="UHF19" s="31"/>
      <c r="UHG19" s="31"/>
      <c r="UHH19" s="31"/>
      <c r="UHI19" s="31"/>
      <c r="UHJ19" s="31"/>
      <c r="UHK19" s="31"/>
      <c r="UHL19" s="31"/>
      <c r="UHM19" s="31"/>
      <c r="UHN19" s="31"/>
      <c r="UHO19" s="31"/>
      <c r="UID19" s="33"/>
      <c r="UIE19" s="31"/>
      <c r="UIF19" s="31"/>
      <c r="UIG19" s="48"/>
      <c r="UIH19" s="31"/>
      <c r="UII19" s="31"/>
      <c r="UIJ19" s="31"/>
      <c r="UIK19" s="31"/>
      <c r="UIL19" s="31"/>
      <c r="UIM19" s="31"/>
      <c r="UIN19" s="31"/>
      <c r="UIO19" s="31"/>
      <c r="UIP19" s="31"/>
      <c r="UIQ19" s="31"/>
      <c r="UIR19" s="31"/>
      <c r="UIS19" s="31"/>
      <c r="UIT19" s="31"/>
      <c r="UIU19" s="31"/>
      <c r="UJJ19" s="33"/>
      <c r="UJK19" s="31"/>
      <c r="UJL19" s="31"/>
      <c r="UJM19" s="48"/>
      <c r="UJN19" s="31"/>
      <c r="UJO19" s="31"/>
      <c r="UJP19" s="31"/>
      <c r="UJQ19" s="31"/>
      <c r="UJR19" s="31"/>
      <c r="UJS19" s="31"/>
      <c r="UJT19" s="31"/>
      <c r="UJU19" s="31"/>
      <c r="UJV19" s="31"/>
      <c r="UJW19" s="31"/>
      <c r="UJX19" s="31"/>
      <c r="UJY19" s="31"/>
      <c r="UJZ19" s="31"/>
      <c r="UKA19" s="31"/>
      <c r="UKP19" s="33"/>
      <c r="UKQ19" s="31"/>
      <c r="UKR19" s="31"/>
      <c r="UKS19" s="48"/>
      <c r="UKT19" s="31"/>
      <c r="UKU19" s="31"/>
      <c r="UKV19" s="31"/>
      <c r="UKW19" s="31"/>
      <c r="UKX19" s="31"/>
      <c r="UKY19" s="31"/>
      <c r="UKZ19" s="31"/>
      <c r="ULA19" s="31"/>
      <c r="ULB19" s="31"/>
      <c r="ULC19" s="31"/>
      <c r="ULD19" s="31"/>
      <c r="ULE19" s="31"/>
      <c r="ULF19" s="31"/>
      <c r="ULG19" s="31"/>
      <c r="ULV19" s="33"/>
      <c r="ULW19" s="31"/>
      <c r="ULX19" s="31"/>
      <c r="ULY19" s="48"/>
      <c r="ULZ19" s="31"/>
      <c r="UMA19" s="31"/>
      <c r="UMB19" s="31"/>
      <c r="UMC19" s="31"/>
      <c r="UMD19" s="31"/>
      <c r="UME19" s="31"/>
      <c r="UMF19" s="31"/>
      <c r="UMG19" s="31"/>
      <c r="UMH19" s="31"/>
      <c r="UMI19" s="31"/>
      <c r="UMJ19" s="31"/>
      <c r="UMK19" s="31"/>
      <c r="UML19" s="31"/>
      <c r="UMM19" s="31"/>
      <c r="UNB19" s="33"/>
      <c r="UNC19" s="31"/>
      <c r="UND19" s="31"/>
      <c r="UNE19" s="48"/>
      <c r="UNF19" s="31"/>
      <c r="UNG19" s="31"/>
      <c r="UNH19" s="31"/>
      <c r="UNI19" s="31"/>
      <c r="UNJ19" s="31"/>
      <c r="UNK19" s="31"/>
      <c r="UNL19" s="31"/>
      <c r="UNM19" s="31"/>
      <c r="UNN19" s="31"/>
      <c r="UNO19" s="31"/>
      <c r="UNP19" s="31"/>
      <c r="UNQ19" s="31"/>
      <c r="UNR19" s="31"/>
      <c r="UNS19" s="31"/>
      <c r="UOH19" s="33"/>
      <c r="UOI19" s="31"/>
      <c r="UOJ19" s="31"/>
      <c r="UOK19" s="48"/>
      <c r="UOL19" s="31"/>
      <c r="UOM19" s="31"/>
      <c r="UON19" s="31"/>
      <c r="UOO19" s="31"/>
      <c r="UOP19" s="31"/>
      <c r="UOQ19" s="31"/>
      <c r="UOR19" s="31"/>
      <c r="UOS19" s="31"/>
      <c r="UOT19" s="31"/>
      <c r="UOU19" s="31"/>
      <c r="UOV19" s="31"/>
      <c r="UOW19" s="31"/>
      <c r="UOX19" s="31"/>
      <c r="UOY19" s="31"/>
      <c r="UPN19" s="33"/>
      <c r="UPO19" s="31"/>
      <c r="UPP19" s="31"/>
      <c r="UPQ19" s="48"/>
      <c r="UPR19" s="31"/>
      <c r="UPS19" s="31"/>
      <c r="UPT19" s="31"/>
      <c r="UPU19" s="31"/>
      <c r="UPV19" s="31"/>
      <c r="UPW19" s="31"/>
      <c r="UPX19" s="31"/>
      <c r="UPY19" s="31"/>
      <c r="UPZ19" s="31"/>
      <c r="UQA19" s="31"/>
      <c r="UQB19" s="31"/>
      <c r="UQC19" s="31"/>
      <c r="UQD19" s="31"/>
      <c r="UQE19" s="31"/>
      <c r="UQT19" s="33"/>
      <c r="UQU19" s="31"/>
      <c r="UQV19" s="31"/>
      <c r="UQW19" s="48"/>
      <c r="UQX19" s="31"/>
      <c r="UQY19" s="31"/>
      <c r="UQZ19" s="31"/>
      <c r="URA19" s="31"/>
      <c r="URB19" s="31"/>
      <c r="URC19" s="31"/>
      <c r="URD19" s="31"/>
      <c r="URE19" s="31"/>
      <c r="URF19" s="31"/>
      <c r="URG19" s="31"/>
      <c r="URH19" s="31"/>
      <c r="URI19" s="31"/>
      <c r="URJ19" s="31"/>
      <c r="URK19" s="31"/>
      <c r="URZ19" s="33"/>
      <c r="USA19" s="31"/>
      <c r="USB19" s="31"/>
      <c r="USC19" s="48"/>
      <c r="USD19" s="31"/>
      <c r="USE19" s="31"/>
      <c r="USF19" s="31"/>
      <c r="USG19" s="31"/>
      <c r="USH19" s="31"/>
      <c r="USI19" s="31"/>
      <c r="USJ19" s="31"/>
      <c r="USK19" s="31"/>
      <c r="USL19" s="31"/>
      <c r="USM19" s="31"/>
      <c r="USN19" s="31"/>
      <c r="USO19" s="31"/>
      <c r="USP19" s="31"/>
      <c r="USQ19" s="31"/>
      <c r="UTF19" s="33"/>
      <c r="UTG19" s="31"/>
      <c r="UTH19" s="31"/>
      <c r="UTI19" s="48"/>
      <c r="UTJ19" s="31"/>
      <c r="UTK19" s="31"/>
      <c r="UTL19" s="31"/>
      <c r="UTM19" s="31"/>
      <c r="UTN19" s="31"/>
      <c r="UTO19" s="31"/>
      <c r="UTP19" s="31"/>
      <c r="UTQ19" s="31"/>
      <c r="UTR19" s="31"/>
      <c r="UTS19" s="31"/>
      <c r="UTT19" s="31"/>
      <c r="UTU19" s="31"/>
      <c r="UTV19" s="31"/>
      <c r="UTW19" s="31"/>
      <c r="UUL19" s="33"/>
      <c r="UUM19" s="31"/>
      <c r="UUN19" s="31"/>
      <c r="UUO19" s="48"/>
      <c r="UUP19" s="31"/>
      <c r="UUQ19" s="31"/>
      <c r="UUR19" s="31"/>
      <c r="UUS19" s="31"/>
      <c r="UUT19" s="31"/>
      <c r="UUU19" s="31"/>
      <c r="UUV19" s="31"/>
      <c r="UUW19" s="31"/>
      <c r="UUX19" s="31"/>
      <c r="UUY19" s="31"/>
      <c r="UUZ19" s="31"/>
      <c r="UVA19" s="31"/>
      <c r="UVB19" s="31"/>
      <c r="UVC19" s="31"/>
      <c r="UVR19" s="33"/>
      <c r="UVS19" s="31"/>
      <c r="UVT19" s="31"/>
      <c r="UVU19" s="48"/>
      <c r="UVV19" s="31"/>
      <c r="UVW19" s="31"/>
      <c r="UVX19" s="31"/>
      <c r="UVY19" s="31"/>
      <c r="UVZ19" s="31"/>
      <c r="UWA19" s="31"/>
      <c r="UWB19" s="31"/>
      <c r="UWC19" s="31"/>
      <c r="UWD19" s="31"/>
      <c r="UWE19" s="31"/>
      <c r="UWF19" s="31"/>
      <c r="UWG19" s="31"/>
      <c r="UWH19" s="31"/>
      <c r="UWI19" s="31"/>
      <c r="UWX19" s="33"/>
      <c r="UWY19" s="31"/>
      <c r="UWZ19" s="31"/>
      <c r="UXA19" s="48"/>
      <c r="UXB19" s="31"/>
      <c r="UXC19" s="31"/>
      <c r="UXD19" s="31"/>
      <c r="UXE19" s="31"/>
      <c r="UXF19" s="31"/>
      <c r="UXG19" s="31"/>
      <c r="UXH19" s="31"/>
      <c r="UXI19" s="31"/>
      <c r="UXJ19" s="31"/>
      <c r="UXK19" s="31"/>
      <c r="UXL19" s="31"/>
      <c r="UXM19" s="31"/>
      <c r="UXN19" s="31"/>
      <c r="UXO19" s="31"/>
      <c r="UYD19" s="33"/>
      <c r="UYE19" s="31"/>
      <c r="UYF19" s="31"/>
      <c r="UYG19" s="48"/>
      <c r="UYH19" s="31"/>
      <c r="UYI19" s="31"/>
      <c r="UYJ19" s="31"/>
      <c r="UYK19" s="31"/>
      <c r="UYL19" s="31"/>
      <c r="UYM19" s="31"/>
      <c r="UYN19" s="31"/>
      <c r="UYO19" s="31"/>
      <c r="UYP19" s="31"/>
      <c r="UYQ19" s="31"/>
      <c r="UYR19" s="31"/>
      <c r="UYS19" s="31"/>
      <c r="UYT19" s="31"/>
      <c r="UYU19" s="31"/>
      <c r="UZJ19" s="33"/>
      <c r="UZK19" s="31"/>
      <c r="UZL19" s="31"/>
      <c r="UZM19" s="48"/>
      <c r="UZN19" s="31"/>
      <c r="UZO19" s="31"/>
      <c r="UZP19" s="31"/>
      <c r="UZQ19" s="31"/>
      <c r="UZR19" s="31"/>
      <c r="UZS19" s="31"/>
      <c r="UZT19" s="31"/>
      <c r="UZU19" s="31"/>
      <c r="UZV19" s="31"/>
      <c r="UZW19" s="31"/>
      <c r="UZX19" s="31"/>
      <c r="UZY19" s="31"/>
      <c r="UZZ19" s="31"/>
      <c r="VAA19" s="31"/>
      <c r="VAP19" s="33"/>
      <c r="VAQ19" s="31"/>
      <c r="VAR19" s="31"/>
      <c r="VAS19" s="48"/>
      <c r="VAT19" s="31"/>
      <c r="VAU19" s="31"/>
      <c r="VAV19" s="31"/>
      <c r="VAW19" s="31"/>
      <c r="VAX19" s="31"/>
      <c r="VAY19" s="31"/>
      <c r="VAZ19" s="31"/>
      <c r="VBA19" s="31"/>
      <c r="VBB19" s="31"/>
      <c r="VBC19" s="31"/>
      <c r="VBD19" s="31"/>
      <c r="VBE19" s="31"/>
      <c r="VBF19" s="31"/>
      <c r="VBG19" s="31"/>
      <c r="VBV19" s="33"/>
      <c r="VBW19" s="31"/>
      <c r="VBX19" s="31"/>
      <c r="VBY19" s="48"/>
      <c r="VBZ19" s="31"/>
      <c r="VCA19" s="31"/>
      <c r="VCB19" s="31"/>
      <c r="VCC19" s="31"/>
      <c r="VCD19" s="31"/>
      <c r="VCE19" s="31"/>
      <c r="VCF19" s="31"/>
      <c r="VCG19" s="31"/>
      <c r="VCH19" s="31"/>
      <c r="VCI19" s="31"/>
      <c r="VCJ19" s="31"/>
      <c r="VCK19" s="31"/>
      <c r="VCL19" s="31"/>
      <c r="VCM19" s="31"/>
      <c r="VDB19" s="33"/>
      <c r="VDC19" s="31"/>
      <c r="VDD19" s="31"/>
      <c r="VDE19" s="48"/>
      <c r="VDF19" s="31"/>
      <c r="VDG19" s="31"/>
      <c r="VDH19" s="31"/>
      <c r="VDI19" s="31"/>
      <c r="VDJ19" s="31"/>
      <c r="VDK19" s="31"/>
      <c r="VDL19" s="31"/>
      <c r="VDM19" s="31"/>
      <c r="VDN19" s="31"/>
      <c r="VDO19" s="31"/>
      <c r="VDP19" s="31"/>
      <c r="VDQ19" s="31"/>
      <c r="VDR19" s="31"/>
      <c r="VDS19" s="31"/>
      <c r="VEH19" s="33"/>
      <c r="VEI19" s="31"/>
      <c r="VEJ19" s="31"/>
      <c r="VEK19" s="48"/>
      <c r="VEL19" s="31"/>
      <c r="VEM19" s="31"/>
      <c r="VEN19" s="31"/>
      <c r="VEO19" s="31"/>
      <c r="VEP19" s="31"/>
      <c r="VEQ19" s="31"/>
      <c r="VER19" s="31"/>
      <c r="VES19" s="31"/>
      <c r="VET19" s="31"/>
      <c r="VEU19" s="31"/>
      <c r="VEV19" s="31"/>
      <c r="VEW19" s="31"/>
      <c r="VEX19" s="31"/>
      <c r="VEY19" s="31"/>
      <c r="VFN19" s="33"/>
      <c r="VFO19" s="31"/>
      <c r="VFP19" s="31"/>
      <c r="VFQ19" s="48"/>
      <c r="VFR19" s="31"/>
      <c r="VFS19" s="31"/>
      <c r="VFT19" s="31"/>
      <c r="VFU19" s="31"/>
      <c r="VFV19" s="31"/>
      <c r="VFW19" s="31"/>
      <c r="VFX19" s="31"/>
      <c r="VFY19" s="31"/>
      <c r="VFZ19" s="31"/>
      <c r="VGA19" s="31"/>
      <c r="VGB19" s="31"/>
      <c r="VGC19" s="31"/>
      <c r="VGD19" s="31"/>
      <c r="VGE19" s="31"/>
      <c r="VGT19" s="33"/>
      <c r="VGU19" s="31"/>
      <c r="VGV19" s="31"/>
      <c r="VGW19" s="48"/>
      <c r="VGX19" s="31"/>
      <c r="VGY19" s="31"/>
      <c r="VGZ19" s="31"/>
      <c r="VHA19" s="31"/>
      <c r="VHB19" s="31"/>
      <c r="VHC19" s="31"/>
      <c r="VHD19" s="31"/>
      <c r="VHE19" s="31"/>
      <c r="VHF19" s="31"/>
      <c r="VHG19" s="31"/>
      <c r="VHH19" s="31"/>
      <c r="VHI19" s="31"/>
      <c r="VHJ19" s="31"/>
      <c r="VHK19" s="31"/>
      <c r="VHZ19" s="33"/>
      <c r="VIA19" s="31"/>
      <c r="VIB19" s="31"/>
      <c r="VIC19" s="48"/>
      <c r="VID19" s="31"/>
      <c r="VIE19" s="31"/>
      <c r="VIF19" s="31"/>
      <c r="VIG19" s="31"/>
      <c r="VIH19" s="31"/>
      <c r="VII19" s="31"/>
      <c r="VIJ19" s="31"/>
      <c r="VIK19" s="31"/>
      <c r="VIL19" s="31"/>
      <c r="VIM19" s="31"/>
      <c r="VIN19" s="31"/>
      <c r="VIO19" s="31"/>
      <c r="VIP19" s="31"/>
      <c r="VIQ19" s="31"/>
      <c r="VJF19" s="33"/>
      <c r="VJG19" s="31"/>
      <c r="VJH19" s="31"/>
      <c r="VJI19" s="48"/>
      <c r="VJJ19" s="31"/>
      <c r="VJK19" s="31"/>
      <c r="VJL19" s="31"/>
      <c r="VJM19" s="31"/>
      <c r="VJN19" s="31"/>
      <c r="VJO19" s="31"/>
      <c r="VJP19" s="31"/>
      <c r="VJQ19" s="31"/>
      <c r="VJR19" s="31"/>
      <c r="VJS19" s="31"/>
      <c r="VJT19" s="31"/>
      <c r="VJU19" s="31"/>
      <c r="VJV19" s="31"/>
      <c r="VJW19" s="31"/>
      <c r="VKL19" s="33"/>
      <c r="VKM19" s="31"/>
      <c r="VKN19" s="31"/>
      <c r="VKO19" s="48"/>
      <c r="VKP19" s="31"/>
      <c r="VKQ19" s="31"/>
      <c r="VKR19" s="31"/>
      <c r="VKS19" s="31"/>
      <c r="VKT19" s="31"/>
      <c r="VKU19" s="31"/>
      <c r="VKV19" s="31"/>
      <c r="VKW19" s="31"/>
      <c r="VKX19" s="31"/>
      <c r="VKY19" s="31"/>
      <c r="VKZ19" s="31"/>
      <c r="VLA19" s="31"/>
      <c r="VLB19" s="31"/>
      <c r="VLC19" s="31"/>
      <c r="VLR19" s="33"/>
      <c r="VLS19" s="31"/>
      <c r="VLT19" s="31"/>
      <c r="VLU19" s="48"/>
      <c r="VLV19" s="31"/>
      <c r="VLW19" s="31"/>
      <c r="VLX19" s="31"/>
      <c r="VLY19" s="31"/>
      <c r="VLZ19" s="31"/>
      <c r="VMA19" s="31"/>
      <c r="VMB19" s="31"/>
      <c r="VMC19" s="31"/>
      <c r="VMD19" s="31"/>
      <c r="VME19" s="31"/>
      <c r="VMF19" s="31"/>
      <c r="VMG19" s="31"/>
      <c r="VMH19" s="31"/>
      <c r="VMI19" s="31"/>
      <c r="VMX19" s="33"/>
      <c r="VMY19" s="31"/>
      <c r="VMZ19" s="31"/>
      <c r="VNA19" s="48"/>
      <c r="VNB19" s="31"/>
      <c r="VNC19" s="31"/>
      <c r="VND19" s="31"/>
      <c r="VNE19" s="31"/>
      <c r="VNF19" s="31"/>
      <c r="VNG19" s="31"/>
      <c r="VNH19" s="31"/>
      <c r="VNI19" s="31"/>
      <c r="VNJ19" s="31"/>
      <c r="VNK19" s="31"/>
      <c r="VNL19" s="31"/>
      <c r="VNM19" s="31"/>
      <c r="VNN19" s="31"/>
      <c r="VNO19" s="31"/>
      <c r="VOD19" s="33"/>
      <c r="VOE19" s="31"/>
      <c r="VOF19" s="31"/>
      <c r="VOG19" s="48"/>
      <c r="VOH19" s="31"/>
      <c r="VOI19" s="31"/>
      <c r="VOJ19" s="31"/>
      <c r="VOK19" s="31"/>
      <c r="VOL19" s="31"/>
      <c r="VOM19" s="31"/>
      <c r="VON19" s="31"/>
      <c r="VOO19" s="31"/>
      <c r="VOP19" s="31"/>
      <c r="VOQ19" s="31"/>
      <c r="VOR19" s="31"/>
      <c r="VOS19" s="31"/>
      <c r="VOT19" s="31"/>
      <c r="VOU19" s="31"/>
      <c r="VPJ19" s="33"/>
      <c r="VPK19" s="31"/>
      <c r="VPL19" s="31"/>
      <c r="VPM19" s="48"/>
      <c r="VPN19" s="31"/>
      <c r="VPO19" s="31"/>
      <c r="VPP19" s="31"/>
      <c r="VPQ19" s="31"/>
      <c r="VPR19" s="31"/>
      <c r="VPS19" s="31"/>
      <c r="VPT19" s="31"/>
      <c r="VPU19" s="31"/>
      <c r="VPV19" s="31"/>
      <c r="VPW19" s="31"/>
      <c r="VPX19" s="31"/>
      <c r="VPY19" s="31"/>
      <c r="VPZ19" s="31"/>
      <c r="VQA19" s="31"/>
      <c r="VQP19" s="33"/>
      <c r="VQQ19" s="31"/>
      <c r="VQR19" s="31"/>
      <c r="VQS19" s="48"/>
      <c r="VQT19" s="31"/>
      <c r="VQU19" s="31"/>
      <c r="VQV19" s="31"/>
      <c r="VQW19" s="31"/>
      <c r="VQX19" s="31"/>
      <c r="VQY19" s="31"/>
      <c r="VQZ19" s="31"/>
      <c r="VRA19" s="31"/>
      <c r="VRB19" s="31"/>
      <c r="VRC19" s="31"/>
      <c r="VRD19" s="31"/>
      <c r="VRE19" s="31"/>
      <c r="VRF19" s="31"/>
      <c r="VRG19" s="31"/>
      <c r="VRV19" s="33"/>
      <c r="VRW19" s="31"/>
      <c r="VRX19" s="31"/>
      <c r="VRY19" s="48"/>
      <c r="VRZ19" s="31"/>
      <c r="VSA19" s="31"/>
      <c r="VSB19" s="31"/>
      <c r="VSC19" s="31"/>
      <c r="VSD19" s="31"/>
      <c r="VSE19" s="31"/>
      <c r="VSF19" s="31"/>
      <c r="VSG19" s="31"/>
      <c r="VSH19" s="31"/>
      <c r="VSI19" s="31"/>
      <c r="VSJ19" s="31"/>
      <c r="VSK19" s="31"/>
      <c r="VSL19" s="31"/>
      <c r="VSM19" s="31"/>
      <c r="VTB19" s="33"/>
      <c r="VTC19" s="31"/>
      <c r="VTD19" s="31"/>
      <c r="VTE19" s="48"/>
      <c r="VTF19" s="31"/>
      <c r="VTG19" s="31"/>
      <c r="VTH19" s="31"/>
      <c r="VTI19" s="31"/>
      <c r="VTJ19" s="31"/>
      <c r="VTK19" s="31"/>
      <c r="VTL19" s="31"/>
      <c r="VTM19" s="31"/>
      <c r="VTN19" s="31"/>
      <c r="VTO19" s="31"/>
      <c r="VTP19" s="31"/>
      <c r="VTQ19" s="31"/>
      <c r="VTR19" s="31"/>
      <c r="VTS19" s="31"/>
      <c r="VUH19" s="33"/>
      <c r="VUI19" s="31"/>
      <c r="VUJ19" s="31"/>
      <c r="VUK19" s="48"/>
      <c r="VUL19" s="31"/>
      <c r="VUM19" s="31"/>
      <c r="VUN19" s="31"/>
      <c r="VUO19" s="31"/>
      <c r="VUP19" s="31"/>
      <c r="VUQ19" s="31"/>
      <c r="VUR19" s="31"/>
      <c r="VUS19" s="31"/>
      <c r="VUT19" s="31"/>
      <c r="VUU19" s="31"/>
      <c r="VUV19" s="31"/>
      <c r="VUW19" s="31"/>
      <c r="VUX19" s="31"/>
      <c r="VUY19" s="31"/>
      <c r="VVN19" s="33"/>
      <c r="VVO19" s="31"/>
      <c r="VVP19" s="31"/>
      <c r="VVQ19" s="48"/>
      <c r="VVR19" s="31"/>
      <c r="VVS19" s="31"/>
      <c r="VVT19" s="31"/>
      <c r="VVU19" s="31"/>
      <c r="VVV19" s="31"/>
      <c r="VVW19" s="31"/>
      <c r="VVX19" s="31"/>
      <c r="VVY19" s="31"/>
      <c r="VVZ19" s="31"/>
      <c r="VWA19" s="31"/>
      <c r="VWB19" s="31"/>
      <c r="VWC19" s="31"/>
      <c r="VWD19" s="31"/>
      <c r="VWE19" s="31"/>
      <c r="VWT19" s="33"/>
      <c r="VWU19" s="31"/>
      <c r="VWV19" s="31"/>
      <c r="VWW19" s="48"/>
      <c r="VWX19" s="31"/>
      <c r="VWY19" s="31"/>
      <c r="VWZ19" s="31"/>
      <c r="VXA19" s="31"/>
      <c r="VXB19" s="31"/>
      <c r="VXC19" s="31"/>
      <c r="VXD19" s="31"/>
      <c r="VXE19" s="31"/>
      <c r="VXF19" s="31"/>
      <c r="VXG19" s="31"/>
      <c r="VXH19" s="31"/>
      <c r="VXI19" s="31"/>
      <c r="VXJ19" s="31"/>
      <c r="VXK19" s="31"/>
      <c r="VXZ19" s="33"/>
      <c r="VYA19" s="31"/>
      <c r="VYB19" s="31"/>
      <c r="VYC19" s="48"/>
      <c r="VYD19" s="31"/>
      <c r="VYE19" s="31"/>
      <c r="VYF19" s="31"/>
      <c r="VYG19" s="31"/>
      <c r="VYH19" s="31"/>
      <c r="VYI19" s="31"/>
      <c r="VYJ19" s="31"/>
      <c r="VYK19" s="31"/>
      <c r="VYL19" s="31"/>
      <c r="VYM19" s="31"/>
      <c r="VYN19" s="31"/>
      <c r="VYO19" s="31"/>
      <c r="VYP19" s="31"/>
      <c r="VYQ19" s="31"/>
      <c r="VZF19" s="33"/>
      <c r="VZG19" s="31"/>
      <c r="VZH19" s="31"/>
      <c r="VZI19" s="48"/>
      <c r="VZJ19" s="31"/>
      <c r="VZK19" s="31"/>
      <c r="VZL19" s="31"/>
      <c r="VZM19" s="31"/>
      <c r="VZN19" s="31"/>
      <c r="VZO19" s="31"/>
      <c r="VZP19" s="31"/>
      <c r="VZQ19" s="31"/>
      <c r="VZR19" s="31"/>
      <c r="VZS19" s="31"/>
      <c r="VZT19" s="31"/>
      <c r="VZU19" s="31"/>
      <c r="VZV19" s="31"/>
      <c r="VZW19" s="31"/>
      <c r="WAL19" s="33"/>
      <c r="WAM19" s="31"/>
      <c r="WAN19" s="31"/>
      <c r="WAO19" s="48"/>
      <c r="WAP19" s="31"/>
      <c r="WAQ19" s="31"/>
      <c r="WAR19" s="31"/>
      <c r="WAS19" s="31"/>
      <c r="WAT19" s="31"/>
      <c r="WAU19" s="31"/>
      <c r="WAV19" s="31"/>
      <c r="WAW19" s="31"/>
      <c r="WAX19" s="31"/>
      <c r="WAY19" s="31"/>
      <c r="WAZ19" s="31"/>
      <c r="WBA19" s="31"/>
      <c r="WBB19" s="31"/>
      <c r="WBC19" s="31"/>
      <c r="WBR19" s="33"/>
      <c r="WBS19" s="31"/>
      <c r="WBT19" s="31"/>
      <c r="WBU19" s="48"/>
      <c r="WBV19" s="31"/>
      <c r="WBW19" s="31"/>
      <c r="WBX19" s="31"/>
      <c r="WBY19" s="31"/>
      <c r="WBZ19" s="31"/>
      <c r="WCA19" s="31"/>
      <c r="WCB19" s="31"/>
      <c r="WCC19" s="31"/>
      <c r="WCD19" s="31"/>
      <c r="WCE19" s="31"/>
      <c r="WCF19" s="31"/>
      <c r="WCG19" s="31"/>
      <c r="WCH19" s="31"/>
      <c r="WCI19" s="31"/>
      <c r="WCX19" s="33"/>
      <c r="WCY19" s="31"/>
      <c r="WCZ19" s="31"/>
      <c r="WDA19" s="48"/>
      <c r="WDB19" s="31"/>
      <c r="WDC19" s="31"/>
      <c r="WDD19" s="31"/>
      <c r="WDE19" s="31"/>
      <c r="WDF19" s="31"/>
      <c r="WDG19" s="31"/>
      <c r="WDH19" s="31"/>
      <c r="WDI19" s="31"/>
      <c r="WDJ19" s="31"/>
      <c r="WDK19" s="31"/>
      <c r="WDL19" s="31"/>
      <c r="WDM19" s="31"/>
      <c r="WDN19" s="31"/>
      <c r="WDO19" s="31"/>
      <c r="WED19" s="33"/>
      <c r="WEE19" s="31"/>
      <c r="WEF19" s="31"/>
      <c r="WEG19" s="48"/>
      <c r="WEH19" s="31"/>
      <c r="WEI19" s="31"/>
      <c r="WEJ19" s="31"/>
      <c r="WEK19" s="31"/>
      <c r="WEL19" s="31"/>
      <c r="WEM19" s="31"/>
      <c r="WEN19" s="31"/>
      <c r="WEO19" s="31"/>
      <c r="WEP19" s="31"/>
      <c r="WEQ19" s="31"/>
      <c r="WER19" s="31"/>
      <c r="WES19" s="31"/>
      <c r="WET19" s="31"/>
      <c r="WEU19" s="31"/>
      <c r="WFJ19" s="33"/>
      <c r="WFK19" s="31"/>
      <c r="WFL19" s="31"/>
      <c r="WFM19" s="48"/>
      <c r="WFN19" s="31"/>
      <c r="WFO19" s="31"/>
      <c r="WFP19" s="31"/>
      <c r="WFQ19" s="31"/>
      <c r="WFR19" s="31"/>
      <c r="WFS19" s="31"/>
      <c r="WFT19" s="31"/>
      <c r="WFU19" s="31"/>
      <c r="WFV19" s="31"/>
      <c r="WFW19" s="31"/>
      <c r="WFX19" s="31"/>
      <c r="WFY19" s="31"/>
      <c r="WFZ19" s="31"/>
      <c r="WGA19" s="31"/>
      <c r="WGP19" s="33"/>
      <c r="WGQ19" s="31"/>
      <c r="WGR19" s="31"/>
      <c r="WGS19" s="48"/>
      <c r="WGT19" s="31"/>
      <c r="WGU19" s="31"/>
      <c r="WGV19" s="31"/>
      <c r="WGW19" s="31"/>
      <c r="WGX19" s="31"/>
      <c r="WGY19" s="31"/>
      <c r="WGZ19" s="31"/>
      <c r="WHA19" s="31"/>
      <c r="WHB19" s="31"/>
      <c r="WHC19" s="31"/>
      <c r="WHD19" s="31"/>
      <c r="WHE19" s="31"/>
      <c r="WHF19" s="31"/>
      <c r="WHG19" s="31"/>
      <c r="WHV19" s="33"/>
      <c r="WHW19" s="31"/>
      <c r="WHX19" s="31"/>
      <c r="WHY19" s="48"/>
      <c r="WHZ19" s="31"/>
      <c r="WIA19" s="31"/>
      <c r="WIB19" s="31"/>
      <c r="WIC19" s="31"/>
      <c r="WID19" s="31"/>
      <c r="WIE19" s="31"/>
      <c r="WIF19" s="31"/>
      <c r="WIG19" s="31"/>
      <c r="WIH19" s="31"/>
      <c r="WII19" s="31"/>
      <c r="WIJ19" s="31"/>
      <c r="WIK19" s="31"/>
      <c r="WIL19" s="31"/>
      <c r="WIM19" s="31"/>
      <c r="WJB19" s="33"/>
      <c r="WJC19" s="31"/>
      <c r="WJD19" s="31"/>
      <c r="WJE19" s="48"/>
      <c r="WJF19" s="31"/>
      <c r="WJG19" s="31"/>
      <c r="WJH19" s="31"/>
      <c r="WJI19" s="31"/>
      <c r="WJJ19" s="31"/>
      <c r="WJK19" s="31"/>
      <c r="WJL19" s="31"/>
      <c r="WJM19" s="31"/>
      <c r="WJN19" s="31"/>
      <c r="WJO19" s="31"/>
      <c r="WJP19" s="31"/>
      <c r="WJQ19" s="31"/>
      <c r="WJR19" s="31"/>
      <c r="WJS19" s="31"/>
      <c r="WKH19" s="33"/>
      <c r="WKI19" s="31"/>
      <c r="WKJ19" s="31"/>
      <c r="WKK19" s="48"/>
      <c r="WKL19" s="31"/>
      <c r="WKM19" s="31"/>
      <c r="WKN19" s="31"/>
      <c r="WKO19" s="31"/>
      <c r="WKP19" s="31"/>
      <c r="WKQ19" s="31"/>
      <c r="WKR19" s="31"/>
      <c r="WKS19" s="31"/>
      <c r="WKT19" s="31"/>
      <c r="WKU19" s="31"/>
      <c r="WKV19" s="31"/>
      <c r="WKW19" s="31"/>
      <c r="WKX19" s="31"/>
      <c r="WKY19" s="31"/>
      <c r="WLN19" s="33"/>
      <c r="WLO19" s="31"/>
      <c r="WLP19" s="31"/>
      <c r="WLQ19" s="48"/>
      <c r="WLR19" s="31"/>
      <c r="WLS19" s="31"/>
      <c r="WLT19" s="31"/>
      <c r="WLU19" s="31"/>
      <c r="WLV19" s="31"/>
      <c r="WLW19" s="31"/>
      <c r="WLX19" s="31"/>
      <c r="WLY19" s="31"/>
      <c r="WLZ19" s="31"/>
      <c r="WMA19" s="31"/>
      <c r="WMB19" s="31"/>
      <c r="WMC19" s="31"/>
      <c r="WMD19" s="31"/>
      <c r="WME19" s="31"/>
      <c r="WMT19" s="33"/>
      <c r="WMU19" s="31"/>
      <c r="WMV19" s="31"/>
      <c r="WMW19" s="48"/>
      <c r="WMX19" s="31"/>
      <c r="WMY19" s="31"/>
      <c r="WMZ19" s="31"/>
      <c r="WNA19" s="31"/>
      <c r="WNB19" s="31"/>
      <c r="WNC19" s="31"/>
      <c r="WND19" s="31"/>
      <c r="WNE19" s="31"/>
      <c r="WNF19" s="31"/>
      <c r="WNG19" s="31"/>
      <c r="WNH19" s="31"/>
      <c r="WNI19" s="31"/>
      <c r="WNJ19" s="31"/>
      <c r="WNK19" s="31"/>
      <c r="WNZ19" s="33"/>
      <c r="WOA19" s="31"/>
      <c r="WOB19" s="31"/>
      <c r="WOC19" s="48"/>
      <c r="WOD19" s="31"/>
      <c r="WOE19" s="31"/>
      <c r="WOF19" s="31"/>
      <c r="WOG19" s="31"/>
      <c r="WOH19" s="31"/>
      <c r="WOI19" s="31"/>
      <c r="WOJ19" s="31"/>
      <c r="WOK19" s="31"/>
      <c r="WOL19" s="31"/>
      <c r="WOM19" s="31"/>
      <c r="WON19" s="31"/>
      <c r="WOO19" s="31"/>
      <c r="WOP19" s="31"/>
      <c r="WOQ19" s="31"/>
      <c r="WPF19" s="33"/>
      <c r="WPG19" s="31"/>
      <c r="WPH19" s="31"/>
      <c r="WPI19" s="48"/>
      <c r="WPJ19" s="31"/>
      <c r="WPK19" s="31"/>
      <c r="WPL19" s="31"/>
      <c r="WPM19" s="31"/>
      <c r="WPN19" s="31"/>
      <c r="WPO19" s="31"/>
      <c r="WPP19" s="31"/>
      <c r="WPQ19" s="31"/>
      <c r="WPR19" s="31"/>
      <c r="WPS19" s="31"/>
      <c r="WPT19" s="31"/>
      <c r="WPU19" s="31"/>
      <c r="WPV19" s="31"/>
      <c r="WPW19" s="31"/>
      <c r="WQL19" s="33"/>
      <c r="WQM19" s="31"/>
      <c r="WQN19" s="31"/>
      <c r="WQO19" s="48"/>
      <c r="WQP19" s="31"/>
      <c r="WQQ19" s="31"/>
      <c r="WQR19" s="31"/>
      <c r="WQS19" s="31"/>
      <c r="WQT19" s="31"/>
      <c r="WQU19" s="31"/>
      <c r="WQV19" s="31"/>
      <c r="WQW19" s="31"/>
      <c r="WQX19" s="31"/>
      <c r="WQY19" s="31"/>
      <c r="WQZ19" s="31"/>
      <c r="WRA19" s="31"/>
      <c r="WRB19" s="31"/>
      <c r="WRC19" s="31"/>
      <c r="WRR19" s="33"/>
      <c r="WRS19" s="31"/>
      <c r="WRT19" s="31"/>
      <c r="WRU19" s="48"/>
      <c r="WRV19" s="31"/>
      <c r="WRW19" s="31"/>
      <c r="WRX19" s="31"/>
      <c r="WRY19" s="31"/>
      <c r="WRZ19" s="31"/>
      <c r="WSA19" s="31"/>
      <c r="WSB19" s="31"/>
      <c r="WSC19" s="31"/>
      <c r="WSD19" s="31"/>
      <c r="WSE19" s="31"/>
      <c r="WSF19" s="31"/>
      <c r="WSG19" s="31"/>
      <c r="WSH19" s="31"/>
      <c r="WSI19" s="31"/>
      <c r="WSX19" s="33"/>
      <c r="WSY19" s="31"/>
      <c r="WSZ19" s="31"/>
      <c r="WTA19" s="48"/>
      <c r="WTB19" s="31"/>
      <c r="WTC19" s="31"/>
      <c r="WTD19" s="31"/>
      <c r="WTE19" s="31"/>
      <c r="WTF19" s="31"/>
      <c r="WTG19" s="31"/>
      <c r="WTH19" s="31"/>
      <c r="WTI19" s="31"/>
      <c r="WTJ19" s="31"/>
      <c r="WTK19" s="31"/>
      <c r="WTL19" s="31"/>
      <c r="WTM19" s="31"/>
      <c r="WTN19" s="31"/>
      <c r="WTO19" s="31"/>
      <c r="WUD19" s="33"/>
      <c r="WUE19" s="31"/>
      <c r="WUF19" s="31"/>
      <c r="WUG19" s="48"/>
      <c r="WUH19" s="31"/>
      <c r="WUI19" s="31"/>
      <c r="WUJ19" s="31"/>
      <c r="WUK19" s="31"/>
      <c r="WUL19" s="31"/>
      <c r="WUM19" s="31"/>
      <c r="WUN19" s="31"/>
      <c r="WUO19" s="31"/>
      <c r="WUP19" s="31"/>
      <c r="WUQ19" s="31"/>
      <c r="WUR19" s="31"/>
      <c r="WUS19" s="31"/>
      <c r="WUT19" s="31"/>
      <c r="WUU19" s="31"/>
      <c r="WVJ19" s="33"/>
      <c r="WVK19" s="31"/>
      <c r="WVL19" s="31"/>
      <c r="WVM19" s="48"/>
      <c r="WVN19" s="31"/>
      <c r="WVO19" s="31"/>
      <c r="WVP19" s="31"/>
      <c r="WVQ19" s="31"/>
      <c r="WVR19" s="31"/>
      <c r="WVS19" s="31"/>
      <c r="WVT19" s="31"/>
      <c r="WVU19" s="31"/>
      <c r="WVV19" s="31"/>
      <c r="WVW19" s="31"/>
      <c r="WVX19" s="31"/>
      <c r="WVY19" s="31"/>
      <c r="WVZ19" s="31"/>
      <c r="WWA19" s="31"/>
      <c r="WWP19" s="33"/>
      <c r="WWQ19" s="31"/>
      <c r="WWR19" s="31"/>
      <c r="WWS19" s="48"/>
      <c r="WWT19" s="31"/>
      <c r="WWU19" s="31"/>
      <c r="WWV19" s="31"/>
      <c r="WWW19" s="31"/>
      <c r="WWX19" s="31"/>
      <c r="WWY19" s="31"/>
      <c r="WWZ19" s="31"/>
      <c r="WXA19" s="31"/>
      <c r="WXB19" s="31"/>
      <c r="WXC19" s="31"/>
      <c r="WXD19" s="31"/>
      <c r="WXE19" s="31"/>
      <c r="WXF19" s="31"/>
      <c r="WXG19" s="31"/>
      <c r="WXV19" s="33"/>
      <c r="WXW19" s="31"/>
      <c r="WXX19" s="31"/>
      <c r="WXY19" s="48"/>
      <c r="WXZ19" s="31"/>
      <c r="WYA19" s="31"/>
      <c r="WYB19" s="31"/>
      <c r="WYC19" s="31"/>
      <c r="WYD19" s="31"/>
      <c r="WYE19" s="31"/>
      <c r="WYF19" s="31"/>
      <c r="WYG19" s="31"/>
      <c r="WYH19" s="31"/>
      <c r="WYI19" s="31"/>
      <c r="WYJ19" s="31"/>
      <c r="WYK19" s="31"/>
      <c r="WYL19" s="31"/>
      <c r="WYM19" s="31"/>
      <c r="WZB19" s="33"/>
      <c r="WZC19" s="31"/>
      <c r="WZD19" s="31"/>
      <c r="WZE19" s="48"/>
      <c r="WZF19" s="31"/>
      <c r="WZG19" s="31"/>
      <c r="WZH19" s="31"/>
      <c r="WZI19" s="31"/>
      <c r="WZJ19" s="31"/>
      <c r="WZK19" s="31"/>
      <c r="WZL19" s="31"/>
      <c r="WZM19" s="31"/>
      <c r="WZN19" s="31"/>
      <c r="WZO19" s="31"/>
      <c r="WZP19" s="31"/>
      <c r="WZQ19" s="31"/>
      <c r="WZR19" s="31"/>
      <c r="WZS19" s="31"/>
      <c r="XAH19" s="33"/>
      <c r="XAI19" s="31"/>
      <c r="XAJ19" s="31"/>
      <c r="XAK19" s="48"/>
      <c r="XAL19" s="31"/>
      <c r="XAM19" s="31"/>
      <c r="XAN19" s="31"/>
      <c r="XAO19" s="31"/>
      <c r="XAP19" s="31"/>
      <c r="XAQ19" s="31"/>
      <c r="XAR19" s="31"/>
      <c r="XAS19" s="31"/>
      <c r="XAT19" s="31"/>
      <c r="XAU19" s="31"/>
      <c r="XAV19" s="31"/>
      <c r="XAW19" s="31"/>
      <c r="XAX19" s="31"/>
      <c r="XAY19" s="31"/>
      <c r="XBN19" s="33"/>
      <c r="XBO19" s="31"/>
      <c r="XBP19" s="31"/>
      <c r="XBQ19" s="48"/>
      <c r="XBR19" s="31"/>
      <c r="XBS19" s="31"/>
      <c r="XBT19" s="31"/>
      <c r="XBU19" s="31"/>
      <c r="XBV19" s="31"/>
      <c r="XBW19" s="31"/>
      <c r="XBX19" s="31"/>
      <c r="XBY19" s="31"/>
      <c r="XBZ19" s="31"/>
      <c r="XCA19" s="31"/>
      <c r="XCB19" s="31"/>
      <c r="XCC19" s="31"/>
      <c r="XCD19" s="31"/>
      <c r="XCE19" s="31"/>
      <c r="XCT19" s="33"/>
      <c r="XCU19" s="31"/>
      <c r="XCV19" s="31"/>
      <c r="XCW19" s="48"/>
      <c r="XCX19" s="31"/>
      <c r="XCY19" s="31"/>
      <c r="XCZ19" s="31"/>
      <c r="XDA19" s="31"/>
      <c r="XDB19" s="31"/>
      <c r="XDC19" s="31"/>
      <c r="XDD19" s="31"/>
      <c r="XDE19" s="31"/>
      <c r="XDF19" s="31"/>
      <c r="XDG19" s="31"/>
      <c r="XDH19" s="31"/>
      <c r="XDI19" s="31"/>
      <c r="XDJ19" s="31"/>
      <c r="XDK19" s="31"/>
      <c r="XDZ19" s="33"/>
      <c r="XEA19" s="31"/>
      <c r="XEB19" s="31"/>
      <c r="XEC19" s="48"/>
      <c r="XED19" s="31"/>
      <c r="XEE19" s="31"/>
      <c r="XEF19" s="31"/>
      <c r="XEG19" s="31"/>
      <c r="XEH19" s="31"/>
      <c r="XEI19" s="31"/>
      <c r="XEJ19" s="31"/>
      <c r="XEK19" s="31"/>
      <c r="XEL19" s="31"/>
      <c r="XEM19" s="31"/>
      <c r="XEN19" s="31"/>
      <c r="XEO19" s="31"/>
      <c r="XEP19" s="31"/>
      <c r="XEQ19" s="31"/>
    </row>
    <row r="20" spans="1:16384" s="11" customFormat="1" ht="14.25" customHeight="1" x14ac:dyDescent="0.3">
      <c r="A20" s="403" t="s">
        <v>99</v>
      </c>
      <c r="B20" s="403"/>
      <c r="C20" s="403"/>
      <c r="D20" s="403"/>
      <c r="E20" s="403"/>
      <c r="F20" s="403"/>
      <c r="G20" s="403"/>
      <c r="H20" s="403"/>
      <c r="I20" s="403"/>
      <c r="J20" s="403"/>
      <c r="K20" s="403"/>
      <c r="L20" s="403"/>
      <c r="M20" s="403"/>
      <c r="N20" s="403"/>
      <c r="O20" s="403"/>
      <c r="P20" s="403"/>
      <c r="Q20" s="403"/>
      <c r="R20" s="403"/>
      <c r="S20" s="403"/>
      <c r="T20" s="403"/>
      <c r="U20" s="403"/>
      <c r="V20" s="403"/>
      <c r="W20" s="403"/>
      <c r="X20" s="403"/>
      <c r="Y20" s="403"/>
      <c r="Z20" s="403"/>
      <c r="AA20" s="403"/>
      <c r="AB20" s="403"/>
      <c r="AC20" s="403"/>
      <c r="AD20" s="403"/>
      <c r="AE20" s="403"/>
      <c r="AF20" s="403"/>
      <c r="AG20" s="403"/>
      <c r="AH20" s="403"/>
      <c r="AI20" s="403"/>
      <c r="AJ20" s="403"/>
      <c r="AK20" s="403"/>
      <c r="AL20" s="403"/>
      <c r="AM20" s="403"/>
      <c r="AN20" s="403"/>
      <c r="AO20" s="403"/>
      <c r="AP20" s="403"/>
      <c r="AQ20" s="403"/>
      <c r="AR20" s="403"/>
      <c r="AS20" s="403"/>
      <c r="AT20" s="403"/>
      <c r="AU20" s="403"/>
      <c r="AV20" s="403"/>
      <c r="AW20" s="403"/>
      <c r="AX20" s="403"/>
      <c r="AY20" s="403"/>
      <c r="AZ20" s="403"/>
      <c r="BA20" s="403"/>
      <c r="BB20" s="403"/>
      <c r="BC20" s="403"/>
      <c r="BD20" s="403"/>
      <c r="BE20" s="403"/>
      <c r="BF20" s="403"/>
      <c r="BG20" s="403"/>
      <c r="BH20" s="403"/>
      <c r="BI20" s="403"/>
      <c r="BJ20" s="403"/>
      <c r="BK20" s="403"/>
      <c r="BL20" s="403"/>
      <c r="BM20" s="403"/>
      <c r="BN20" s="403"/>
      <c r="BO20" s="403"/>
      <c r="BP20" s="403"/>
      <c r="BQ20" s="403"/>
      <c r="BR20" s="403"/>
      <c r="BS20" s="403"/>
      <c r="BT20" s="403"/>
      <c r="BU20" s="403"/>
      <c r="BV20" s="403"/>
      <c r="BW20" s="403"/>
      <c r="BX20" s="403"/>
      <c r="BY20" s="403"/>
      <c r="BZ20" s="403"/>
      <c r="CA20" s="403"/>
      <c r="CB20" s="403"/>
      <c r="CC20" s="403"/>
      <c r="CD20" s="403"/>
      <c r="CE20" s="403"/>
      <c r="CF20" s="403"/>
      <c r="CG20" s="403"/>
      <c r="CH20" s="403"/>
      <c r="CI20" s="403"/>
      <c r="CJ20" s="403"/>
      <c r="CK20" s="403"/>
      <c r="CL20" s="403"/>
      <c r="CM20" s="403"/>
      <c r="CN20" s="403"/>
      <c r="CO20" s="403"/>
      <c r="CP20" s="403"/>
      <c r="CQ20" s="403"/>
      <c r="CR20" s="403"/>
      <c r="CS20" s="403" t="s">
        <v>99</v>
      </c>
      <c r="CT20" s="403"/>
      <c r="CU20" s="403"/>
      <c r="CV20" s="403"/>
      <c r="CW20" s="403"/>
      <c r="CX20" s="403"/>
      <c r="CY20" s="403"/>
      <c r="CZ20" s="403"/>
      <c r="DA20" s="403"/>
      <c r="DB20" s="403"/>
      <c r="DC20" s="403"/>
      <c r="DD20" s="403"/>
      <c r="DE20" s="403"/>
      <c r="DF20" s="403"/>
      <c r="DG20" s="403"/>
      <c r="DH20" s="403"/>
      <c r="DI20" s="403"/>
      <c r="DJ20" s="403"/>
      <c r="DK20" s="403"/>
      <c r="DL20" s="403"/>
      <c r="DM20" s="403"/>
      <c r="DN20" s="403"/>
      <c r="DO20" s="403"/>
      <c r="DP20" s="403"/>
      <c r="DQ20" s="403"/>
      <c r="DR20" s="403"/>
      <c r="DS20" s="403"/>
      <c r="DT20" s="403"/>
      <c r="DU20" s="403"/>
      <c r="DV20" s="403"/>
      <c r="DW20" s="403"/>
      <c r="DX20" s="403"/>
      <c r="DY20" s="403" t="s">
        <v>99</v>
      </c>
      <c r="DZ20" s="403"/>
      <c r="EA20" s="403"/>
      <c r="EB20" s="403"/>
      <c r="EC20" s="403"/>
      <c r="ED20" s="403"/>
      <c r="EE20" s="403"/>
      <c r="EF20" s="403"/>
      <c r="EG20" s="403"/>
      <c r="EH20" s="403"/>
      <c r="EI20" s="403"/>
      <c r="EJ20" s="403"/>
      <c r="EK20" s="403"/>
      <c r="EL20" s="403"/>
      <c r="EM20" s="403"/>
      <c r="EN20" s="403"/>
      <c r="EO20" s="403"/>
      <c r="EP20" s="403"/>
      <c r="EQ20" s="403"/>
      <c r="ER20" s="403"/>
      <c r="ES20" s="403"/>
      <c r="ET20" s="403"/>
      <c r="EU20" s="403"/>
      <c r="EV20" s="403"/>
      <c r="EW20" s="403"/>
      <c r="EX20" s="403"/>
      <c r="EY20" s="403"/>
      <c r="EZ20" s="403"/>
      <c r="FA20" s="403"/>
      <c r="FB20" s="403"/>
      <c r="FC20" s="403"/>
      <c r="FD20" s="403"/>
      <c r="FE20" s="403" t="s">
        <v>99</v>
      </c>
      <c r="FF20" s="403"/>
      <c r="FG20" s="403"/>
      <c r="FH20" s="403"/>
      <c r="FI20" s="403"/>
      <c r="FJ20" s="403"/>
      <c r="FK20" s="403"/>
      <c r="FL20" s="403"/>
      <c r="FM20" s="403"/>
      <c r="FN20" s="403"/>
      <c r="FO20" s="403"/>
      <c r="FP20" s="403"/>
      <c r="FQ20" s="403"/>
      <c r="FR20" s="403"/>
      <c r="FS20" s="403"/>
      <c r="FT20" s="403"/>
      <c r="FU20" s="403"/>
      <c r="FV20" s="403"/>
      <c r="FW20" s="403"/>
      <c r="FX20" s="403"/>
      <c r="FY20" s="403"/>
      <c r="FZ20" s="403"/>
      <c r="GA20" s="403"/>
      <c r="GB20" s="403"/>
      <c r="GC20" s="403"/>
      <c r="GD20" s="403"/>
      <c r="GE20" s="403"/>
      <c r="GF20" s="403"/>
      <c r="GG20" s="403"/>
      <c r="GH20" s="403"/>
      <c r="GI20" s="403"/>
      <c r="GJ20" s="403"/>
      <c r="GK20" s="403" t="s">
        <v>99</v>
      </c>
      <c r="GL20" s="403"/>
      <c r="GM20" s="403"/>
      <c r="GN20" s="403"/>
      <c r="GO20" s="403"/>
      <c r="GP20" s="403"/>
      <c r="GQ20" s="403"/>
      <c r="GR20" s="403"/>
      <c r="GS20" s="403"/>
      <c r="GT20" s="403"/>
      <c r="GU20" s="403"/>
      <c r="GV20" s="403"/>
      <c r="GW20" s="403"/>
      <c r="GX20" s="403"/>
      <c r="GY20" s="403"/>
      <c r="GZ20" s="403"/>
      <c r="HA20" s="403"/>
      <c r="HB20" s="403"/>
      <c r="HC20" s="403"/>
      <c r="HD20" s="403"/>
      <c r="HE20" s="403"/>
      <c r="HF20" s="403"/>
      <c r="HG20" s="403"/>
      <c r="HH20" s="403"/>
      <c r="HI20" s="403"/>
      <c r="HJ20" s="403"/>
      <c r="HK20" s="403"/>
      <c r="HL20" s="403"/>
      <c r="HM20" s="403"/>
      <c r="HN20" s="403"/>
      <c r="HO20" s="403"/>
      <c r="HP20" s="403"/>
      <c r="HQ20" s="403" t="s">
        <v>99</v>
      </c>
      <c r="HR20" s="403"/>
      <c r="HS20" s="403"/>
      <c r="HT20" s="403"/>
      <c r="HU20" s="403"/>
      <c r="HV20" s="403"/>
      <c r="HW20" s="403"/>
      <c r="HX20" s="403"/>
      <c r="HY20" s="403"/>
      <c r="HZ20" s="403"/>
      <c r="IA20" s="403"/>
      <c r="IB20" s="403"/>
      <c r="IC20" s="403"/>
      <c r="ID20" s="403"/>
      <c r="IE20" s="403"/>
      <c r="IF20" s="403"/>
      <c r="IG20" s="403"/>
      <c r="IH20" s="403"/>
      <c r="II20" s="403"/>
      <c r="IJ20" s="403"/>
      <c r="IK20" s="403"/>
      <c r="IL20" s="403"/>
      <c r="IM20" s="403"/>
      <c r="IN20" s="403"/>
      <c r="IO20" s="403"/>
      <c r="IP20" s="403"/>
      <c r="IQ20" s="403"/>
      <c r="IR20" s="403"/>
      <c r="IS20" s="403"/>
      <c r="IT20" s="403"/>
      <c r="IU20" s="403"/>
      <c r="IV20" s="403"/>
      <c r="IW20" s="403" t="s">
        <v>99</v>
      </c>
      <c r="IX20" s="403"/>
      <c r="IY20" s="403"/>
      <c r="IZ20" s="403"/>
      <c r="JA20" s="403"/>
      <c r="JB20" s="403"/>
      <c r="JC20" s="403"/>
      <c r="JD20" s="403"/>
      <c r="JE20" s="403"/>
      <c r="JF20" s="403"/>
      <c r="JG20" s="403"/>
      <c r="JH20" s="403"/>
      <c r="JI20" s="403"/>
      <c r="JJ20" s="403"/>
      <c r="JK20" s="403"/>
      <c r="JL20" s="403"/>
      <c r="JM20" s="403"/>
      <c r="JN20" s="403"/>
      <c r="JO20" s="403"/>
      <c r="JP20" s="403"/>
      <c r="JQ20" s="403"/>
      <c r="JR20" s="403"/>
      <c r="JS20" s="403"/>
      <c r="JT20" s="403"/>
      <c r="JU20" s="403"/>
      <c r="JV20" s="403"/>
      <c r="JW20" s="403"/>
      <c r="JX20" s="403"/>
      <c r="JY20" s="403"/>
      <c r="JZ20" s="403"/>
      <c r="KA20" s="403"/>
      <c r="KB20" s="403"/>
      <c r="KC20" s="403" t="s">
        <v>99</v>
      </c>
      <c r="KD20" s="403"/>
      <c r="KE20" s="403"/>
      <c r="KF20" s="403"/>
      <c r="KG20" s="403"/>
      <c r="KH20" s="403"/>
      <c r="KI20" s="403"/>
      <c r="KJ20" s="403"/>
      <c r="KK20" s="403"/>
      <c r="KL20" s="403"/>
      <c r="KM20" s="403"/>
      <c r="KN20" s="403"/>
      <c r="KO20" s="403"/>
      <c r="KP20" s="403"/>
      <c r="KQ20" s="403"/>
      <c r="KR20" s="403"/>
      <c r="KS20" s="403"/>
      <c r="KT20" s="403"/>
      <c r="KU20" s="403"/>
      <c r="KV20" s="403"/>
      <c r="KW20" s="403"/>
      <c r="KX20" s="403"/>
      <c r="KY20" s="403"/>
      <c r="KZ20" s="403"/>
      <c r="LA20" s="403"/>
      <c r="LB20" s="403"/>
      <c r="LC20" s="403"/>
      <c r="LD20" s="403"/>
      <c r="LE20" s="403"/>
      <c r="LF20" s="403"/>
      <c r="LG20" s="403"/>
      <c r="LH20" s="403"/>
      <c r="LI20" s="403" t="s">
        <v>99</v>
      </c>
      <c r="LJ20" s="403"/>
      <c r="LK20" s="403"/>
      <c r="LL20" s="403"/>
      <c r="LM20" s="403"/>
      <c r="LN20" s="403"/>
      <c r="LO20" s="403"/>
      <c r="LP20" s="403"/>
      <c r="LQ20" s="403"/>
      <c r="LR20" s="403"/>
      <c r="LS20" s="403"/>
      <c r="LT20" s="403"/>
      <c r="LU20" s="403"/>
      <c r="LV20" s="403"/>
      <c r="LW20" s="403"/>
      <c r="LX20" s="403"/>
      <c r="LY20" s="403"/>
      <c r="LZ20" s="403"/>
      <c r="MA20" s="403"/>
      <c r="MB20" s="403"/>
      <c r="MC20" s="403"/>
      <c r="MD20" s="403"/>
      <c r="ME20" s="403"/>
      <c r="MF20" s="403"/>
      <c r="MG20" s="403"/>
      <c r="MH20" s="403"/>
      <c r="MI20" s="403"/>
      <c r="MJ20" s="403"/>
      <c r="MK20" s="403"/>
      <c r="ML20" s="403"/>
      <c r="MM20" s="403"/>
      <c r="MN20" s="403"/>
      <c r="MO20" s="403" t="s">
        <v>99</v>
      </c>
      <c r="MP20" s="403"/>
      <c r="MQ20" s="403"/>
      <c r="MR20" s="403"/>
      <c r="MS20" s="403"/>
      <c r="MT20" s="403"/>
      <c r="MU20" s="403"/>
      <c r="MV20" s="403"/>
      <c r="MW20" s="403"/>
      <c r="MX20" s="403"/>
      <c r="MY20" s="403"/>
      <c r="MZ20" s="403"/>
      <c r="NA20" s="403"/>
      <c r="NB20" s="403"/>
      <c r="NC20" s="403"/>
      <c r="ND20" s="403"/>
      <c r="NE20" s="403"/>
      <c r="NF20" s="403"/>
      <c r="NG20" s="403"/>
      <c r="NH20" s="403"/>
      <c r="NI20" s="403"/>
      <c r="NJ20" s="403"/>
      <c r="NK20" s="403"/>
      <c r="NL20" s="403"/>
      <c r="NM20" s="403"/>
      <c r="NN20" s="403"/>
      <c r="NO20" s="403"/>
      <c r="NP20" s="403"/>
      <c r="NQ20" s="403"/>
      <c r="NR20" s="403"/>
      <c r="NS20" s="403"/>
      <c r="NT20" s="403"/>
      <c r="NU20" s="403" t="s">
        <v>99</v>
      </c>
      <c r="NV20" s="403"/>
      <c r="NW20" s="403"/>
      <c r="NX20" s="403"/>
      <c r="NY20" s="403"/>
      <c r="NZ20" s="403"/>
      <c r="OA20" s="403"/>
      <c r="OB20" s="403"/>
      <c r="OC20" s="403"/>
      <c r="OD20" s="403"/>
      <c r="OE20" s="403"/>
      <c r="OF20" s="403"/>
      <c r="OG20" s="403"/>
      <c r="OH20" s="403"/>
      <c r="OI20" s="403"/>
      <c r="OJ20" s="403"/>
      <c r="OK20" s="403"/>
      <c r="OL20" s="403"/>
      <c r="OM20" s="403"/>
      <c r="ON20" s="403"/>
      <c r="OO20" s="403"/>
      <c r="OP20" s="403"/>
      <c r="OQ20" s="403"/>
      <c r="OR20" s="403"/>
      <c r="OS20" s="403"/>
      <c r="OT20" s="403"/>
      <c r="OU20" s="403"/>
      <c r="OV20" s="403"/>
      <c r="OW20" s="403"/>
      <c r="OX20" s="403"/>
      <c r="OY20" s="403"/>
      <c r="OZ20" s="403"/>
      <c r="PA20" s="403" t="s">
        <v>99</v>
      </c>
      <c r="PB20" s="403"/>
      <c r="PC20" s="403"/>
      <c r="PD20" s="403"/>
      <c r="PE20" s="403"/>
      <c r="PF20" s="403"/>
      <c r="PG20" s="403"/>
      <c r="PH20" s="403"/>
      <c r="PI20" s="403"/>
      <c r="PJ20" s="403"/>
      <c r="PK20" s="403"/>
      <c r="PL20" s="403"/>
      <c r="PM20" s="403"/>
      <c r="PN20" s="403"/>
      <c r="PO20" s="403"/>
      <c r="PP20" s="403"/>
      <c r="PQ20" s="403"/>
      <c r="PR20" s="403"/>
      <c r="PS20" s="403"/>
      <c r="PT20" s="403"/>
      <c r="PU20" s="403"/>
      <c r="PV20" s="403"/>
      <c r="PW20" s="403"/>
      <c r="PX20" s="403"/>
      <c r="PY20" s="403"/>
      <c r="PZ20" s="403"/>
      <c r="QA20" s="403"/>
      <c r="QB20" s="403"/>
      <c r="QC20" s="403"/>
      <c r="QD20" s="403"/>
      <c r="QE20" s="403"/>
      <c r="QF20" s="403"/>
      <c r="QG20" s="403" t="s">
        <v>99</v>
      </c>
      <c r="QH20" s="403"/>
      <c r="QI20" s="403"/>
      <c r="QJ20" s="403"/>
      <c r="QK20" s="403"/>
      <c r="QL20" s="403"/>
      <c r="QM20" s="403"/>
      <c r="QN20" s="403"/>
      <c r="QO20" s="403"/>
      <c r="QP20" s="403"/>
      <c r="QQ20" s="403"/>
      <c r="QR20" s="403"/>
      <c r="QS20" s="403"/>
      <c r="QT20" s="403"/>
      <c r="QU20" s="403"/>
      <c r="QV20" s="403"/>
      <c r="QW20" s="403"/>
      <c r="QX20" s="403"/>
      <c r="QY20" s="403"/>
      <c r="QZ20" s="403"/>
      <c r="RA20" s="403"/>
      <c r="RB20" s="403"/>
      <c r="RC20" s="403"/>
      <c r="RD20" s="403"/>
      <c r="RE20" s="403"/>
      <c r="RF20" s="403"/>
      <c r="RG20" s="403"/>
      <c r="RH20" s="403"/>
      <c r="RI20" s="403"/>
      <c r="RJ20" s="403"/>
      <c r="RK20" s="403"/>
      <c r="RL20" s="403"/>
      <c r="RM20" s="403" t="s">
        <v>99</v>
      </c>
      <c r="RN20" s="403"/>
      <c r="RO20" s="403"/>
      <c r="RP20" s="403"/>
      <c r="RQ20" s="403"/>
      <c r="RR20" s="403"/>
      <c r="RS20" s="403"/>
      <c r="RT20" s="403"/>
      <c r="RU20" s="403"/>
      <c r="RV20" s="403"/>
      <c r="RW20" s="403"/>
      <c r="RX20" s="403"/>
      <c r="RY20" s="403"/>
      <c r="RZ20" s="403"/>
      <c r="SA20" s="403"/>
      <c r="SB20" s="403"/>
      <c r="SC20" s="403"/>
      <c r="SD20" s="403"/>
      <c r="SE20" s="403"/>
      <c r="SF20" s="403"/>
      <c r="SG20" s="403"/>
      <c r="SH20" s="403"/>
      <c r="SI20" s="403"/>
      <c r="SJ20" s="403"/>
      <c r="SK20" s="403"/>
      <c r="SL20" s="403"/>
      <c r="SM20" s="403"/>
      <c r="SN20" s="403"/>
      <c r="SO20" s="403"/>
      <c r="SP20" s="403"/>
      <c r="SQ20" s="403"/>
      <c r="SR20" s="403"/>
      <c r="SS20" s="403" t="s">
        <v>99</v>
      </c>
      <c r="ST20" s="403"/>
      <c r="SU20" s="403"/>
      <c r="SV20" s="403"/>
      <c r="SW20" s="403"/>
      <c r="SX20" s="403"/>
      <c r="SY20" s="403"/>
      <c r="SZ20" s="403"/>
      <c r="TA20" s="403"/>
      <c r="TB20" s="403"/>
      <c r="TC20" s="403"/>
      <c r="TD20" s="403"/>
      <c r="TE20" s="403"/>
      <c r="TF20" s="403"/>
      <c r="TG20" s="403"/>
      <c r="TH20" s="403"/>
      <c r="TI20" s="403"/>
      <c r="TJ20" s="403"/>
      <c r="TK20" s="403"/>
      <c r="TL20" s="403"/>
      <c r="TM20" s="403"/>
      <c r="TN20" s="403"/>
      <c r="TO20" s="403"/>
      <c r="TP20" s="403"/>
      <c r="TQ20" s="403"/>
      <c r="TR20" s="403"/>
      <c r="TS20" s="403"/>
      <c r="TT20" s="403"/>
      <c r="TU20" s="403"/>
      <c r="TV20" s="403"/>
      <c r="TW20" s="403"/>
      <c r="TX20" s="403"/>
      <c r="TY20" s="403" t="s">
        <v>99</v>
      </c>
      <c r="TZ20" s="403"/>
      <c r="UA20" s="403"/>
      <c r="UB20" s="403"/>
      <c r="UC20" s="403"/>
      <c r="UD20" s="403"/>
      <c r="UE20" s="403"/>
      <c r="UF20" s="403"/>
      <c r="UG20" s="403"/>
      <c r="UH20" s="403"/>
      <c r="UI20" s="403"/>
      <c r="UJ20" s="403"/>
      <c r="UK20" s="403"/>
      <c r="UL20" s="403"/>
      <c r="UM20" s="403"/>
      <c r="UN20" s="403"/>
      <c r="UO20" s="403"/>
      <c r="UP20" s="403"/>
      <c r="UQ20" s="403"/>
      <c r="UR20" s="403"/>
      <c r="US20" s="403"/>
      <c r="UT20" s="403"/>
      <c r="UU20" s="403"/>
      <c r="UV20" s="403"/>
      <c r="UW20" s="403"/>
      <c r="UX20" s="403"/>
      <c r="UY20" s="403"/>
      <c r="UZ20" s="403"/>
      <c r="VA20" s="403"/>
      <c r="VB20" s="403"/>
      <c r="VC20" s="403"/>
      <c r="VD20" s="403"/>
      <c r="VE20" s="403" t="s">
        <v>99</v>
      </c>
      <c r="VF20" s="403"/>
      <c r="VG20" s="403"/>
      <c r="VH20" s="403"/>
      <c r="VI20" s="403"/>
      <c r="VJ20" s="403"/>
      <c r="VK20" s="403"/>
      <c r="VL20" s="403"/>
      <c r="VM20" s="403"/>
      <c r="VN20" s="403"/>
      <c r="VO20" s="403"/>
      <c r="VP20" s="403"/>
      <c r="VQ20" s="403"/>
      <c r="VR20" s="403"/>
      <c r="VS20" s="403"/>
      <c r="VT20" s="403"/>
      <c r="VU20" s="403"/>
      <c r="VV20" s="403"/>
      <c r="VW20" s="403"/>
      <c r="VX20" s="403"/>
      <c r="VY20" s="403"/>
      <c r="VZ20" s="403"/>
      <c r="WA20" s="403"/>
      <c r="WB20" s="403"/>
      <c r="WC20" s="403"/>
      <c r="WD20" s="403"/>
      <c r="WE20" s="403"/>
      <c r="WF20" s="403"/>
      <c r="WG20" s="403"/>
      <c r="WH20" s="403"/>
      <c r="WI20" s="403"/>
      <c r="WJ20" s="403"/>
      <c r="WK20" s="403" t="s">
        <v>99</v>
      </c>
      <c r="WL20" s="403"/>
      <c r="WM20" s="403"/>
      <c r="WN20" s="403"/>
      <c r="WO20" s="403"/>
      <c r="WP20" s="403"/>
      <c r="WQ20" s="403"/>
      <c r="WR20" s="403"/>
      <c r="WS20" s="403"/>
      <c r="WT20" s="403"/>
      <c r="WU20" s="403"/>
      <c r="WV20" s="403"/>
      <c r="WW20" s="403"/>
      <c r="WX20" s="403"/>
      <c r="WY20" s="403"/>
      <c r="WZ20" s="403"/>
      <c r="XA20" s="403"/>
      <c r="XB20" s="403"/>
      <c r="XC20" s="403"/>
      <c r="XD20" s="403"/>
      <c r="XE20" s="403"/>
      <c r="XF20" s="403"/>
      <c r="XG20" s="403"/>
      <c r="XH20" s="403"/>
      <c r="XI20" s="403"/>
      <c r="XJ20" s="403"/>
      <c r="XK20" s="403"/>
      <c r="XL20" s="403"/>
      <c r="XM20" s="403"/>
      <c r="XN20" s="403"/>
      <c r="XO20" s="403"/>
      <c r="XP20" s="403"/>
      <c r="XQ20" s="403" t="s">
        <v>99</v>
      </c>
      <c r="XR20" s="403"/>
      <c r="XS20" s="403"/>
      <c r="XT20" s="403"/>
      <c r="XU20" s="403"/>
      <c r="XV20" s="403"/>
      <c r="XW20" s="403"/>
      <c r="XX20" s="403"/>
      <c r="XY20" s="403"/>
      <c r="XZ20" s="403"/>
      <c r="YA20" s="403"/>
      <c r="YB20" s="403"/>
      <c r="YC20" s="403"/>
      <c r="YD20" s="403"/>
      <c r="YE20" s="403"/>
      <c r="YF20" s="403"/>
      <c r="YG20" s="403"/>
      <c r="YH20" s="403"/>
      <c r="YI20" s="403"/>
      <c r="YJ20" s="403"/>
      <c r="YK20" s="403"/>
      <c r="YL20" s="403"/>
      <c r="YM20" s="403"/>
      <c r="YN20" s="403"/>
      <c r="YO20" s="403"/>
      <c r="YP20" s="403"/>
      <c r="YQ20" s="403"/>
      <c r="YR20" s="403"/>
      <c r="YS20" s="403"/>
      <c r="YT20" s="403"/>
      <c r="YU20" s="403"/>
      <c r="YV20" s="403"/>
      <c r="YW20" s="403" t="s">
        <v>99</v>
      </c>
      <c r="YX20" s="403"/>
      <c r="YY20" s="403"/>
      <c r="YZ20" s="403"/>
      <c r="ZA20" s="403"/>
      <c r="ZB20" s="403"/>
      <c r="ZC20" s="403"/>
      <c r="ZD20" s="403"/>
      <c r="ZE20" s="403"/>
      <c r="ZF20" s="403"/>
      <c r="ZG20" s="403"/>
      <c r="ZH20" s="403"/>
      <c r="ZI20" s="403"/>
      <c r="ZJ20" s="403"/>
      <c r="ZK20" s="403"/>
      <c r="ZL20" s="403"/>
      <c r="ZM20" s="403"/>
      <c r="ZN20" s="403"/>
      <c r="ZO20" s="403"/>
      <c r="ZP20" s="403"/>
      <c r="ZQ20" s="403"/>
      <c r="ZR20" s="403"/>
      <c r="ZS20" s="403"/>
      <c r="ZT20" s="403"/>
      <c r="ZU20" s="403"/>
      <c r="ZV20" s="403"/>
      <c r="ZW20" s="403"/>
      <c r="ZX20" s="403"/>
      <c r="ZY20" s="403"/>
      <c r="ZZ20" s="403"/>
      <c r="AAA20" s="403"/>
      <c r="AAB20" s="403"/>
      <c r="AAC20" s="403" t="s">
        <v>99</v>
      </c>
      <c r="AAD20" s="403"/>
      <c r="AAE20" s="403"/>
      <c r="AAF20" s="403"/>
      <c r="AAG20" s="403"/>
      <c r="AAH20" s="403"/>
      <c r="AAI20" s="403"/>
      <c r="AAJ20" s="403"/>
      <c r="AAK20" s="403"/>
      <c r="AAL20" s="403"/>
      <c r="AAM20" s="403"/>
      <c r="AAN20" s="403"/>
      <c r="AAO20" s="403"/>
      <c r="AAP20" s="403"/>
      <c r="AAQ20" s="403"/>
      <c r="AAR20" s="403"/>
      <c r="AAS20" s="403"/>
      <c r="AAT20" s="403"/>
      <c r="AAU20" s="403"/>
      <c r="AAV20" s="403"/>
      <c r="AAW20" s="403"/>
      <c r="AAX20" s="403"/>
      <c r="AAY20" s="403"/>
      <c r="AAZ20" s="403"/>
      <c r="ABA20" s="403"/>
      <c r="ABB20" s="403"/>
      <c r="ABC20" s="403"/>
      <c r="ABD20" s="403"/>
      <c r="ABE20" s="403"/>
      <c r="ABF20" s="403"/>
      <c r="ABG20" s="403"/>
      <c r="ABH20" s="403"/>
      <c r="ABI20" s="403" t="s">
        <v>99</v>
      </c>
      <c r="ABJ20" s="403"/>
      <c r="ABK20" s="403"/>
      <c r="ABL20" s="403"/>
      <c r="ABM20" s="403"/>
      <c r="ABN20" s="403"/>
      <c r="ABO20" s="403"/>
      <c r="ABP20" s="403"/>
      <c r="ABQ20" s="403"/>
      <c r="ABR20" s="403"/>
      <c r="ABS20" s="403"/>
      <c r="ABT20" s="403"/>
      <c r="ABU20" s="403"/>
      <c r="ABV20" s="403"/>
      <c r="ABW20" s="403"/>
      <c r="ABX20" s="403"/>
      <c r="ABY20" s="403"/>
      <c r="ABZ20" s="403"/>
      <c r="ACA20" s="403"/>
      <c r="ACB20" s="403"/>
      <c r="ACC20" s="403"/>
      <c r="ACD20" s="403"/>
      <c r="ACE20" s="403"/>
      <c r="ACF20" s="403"/>
      <c r="ACG20" s="403"/>
      <c r="ACH20" s="403"/>
      <c r="ACI20" s="403"/>
      <c r="ACJ20" s="403"/>
      <c r="ACK20" s="403"/>
      <c r="ACL20" s="403"/>
      <c r="ACM20" s="403"/>
      <c r="ACN20" s="403"/>
      <c r="ACO20" s="403" t="s">
        <v>99</v>
      </c>
      <c r="ACP20" s="403"/>
      <c r="ACQ20" s="403"/>
      <c r="ACR20" s="403"/>
      <c r="ACS20" s="403"/>
      <c r="ACT20" s="403"/>
      <c r="ACU20" s="403"/>
      <c r="ACV20" s="403"/>
      <c r="ACW20" s="403"/>
      <c r="ACX20" s="403"/>
      <c r="ACY20" s="403"/>
      <c r="ACZ20" s="403"/>
      <c r="ADA20" s="403"/>
      <c r="ADB20" s="403"/>
      <c r="ADC20" s="403"/>
      <c r="ADD20" s="403"/>
      <c r="ADE20" s="403"/>
      <c r="ADF20" s="403"/>
      <c r="ADG20" s="403"/>
      <c r="ADH20" s="403"/>
      <c r="ADI20" s="403"/>
      <c r="ADJ20" s="403"/>
      <c r="ADK20" s="403"/>
      <c r="ADL20" s="403"/>
      <c r="ADM20" s="403"/>
      <c r="ADN20" s="403"/>
      <c r="ADO20" s="403"/>
      <c r="ADP20" s="403"/>
      <c r="ADQ20" s="403"/>
      <c r="ADR20" s="403"/>
      <c r="ADS20" s="403"/>
      <c r="ADT20" s="403"/>
      <c r="ADU20" s="403" t="s">
        <v>99</v>
      </c>
      <c r="ADV20" s="403"/>
      <c r="ADW20" s="403"/>
      <c r="ADX20" s="403"/>
      <c r="ADY20" s="403"/>
      <c r="ADZ20" s="403"/>
      <c r="AEA20" s="403"/>
      <c r="AEB20" s="403"/>
      <c r="AEC20" s="403"/>
      <c r="AED20" s="403"/>
      <c r="AEE20" s="403"/>
      <c r="AEF20" s="403"/>
      <c r="AEG20" s="403"/>
      <c r="AEH20" s="403"/>
      <c r="AEI20" s="403"/>
      <c r="AEJ20" s="403"/>
      <c r="AEK20" s="403"/>
      <c r="AEL20" s="403"/>
      <c r="AEM20" s="403"/>
      <c r="AEN20" s="403"/>
      <c r="AEO20" s="403"/>
      <c r="AEP20" s="403"/>
      <c r="AEQ20" s="403"/>
      <c r="AER20" s="403"/>
      <c r="AES20" s="403"/>
      <c r="AET20" s="403"/>
      <c r="AEU20" s="403"/>
      <c r="AEV20" s="403"/>
      <c r="AEW20" s="403"/>
      <c r="AEX20" s="403"/>
      <c r="AEY20" s="403"/>
      <c r="AEZ20" s="403"/>
      <c r="AFA20" s="403" t="s">
        <v>99</v>
      </c>
      <c r="AFB20" s="403"/>
      <c r="AFC20" s="403"/>
      <c r="AFD20" s="403"/>
      <c r="AFE20" s="403"/>
      <c r="AFF20" s="403"/>
      <c r="AFG20" s="403"/>
      <c r="AFH20" s="403"/>
      <c r="AFI20" s="403"/>
      <c r="AFJ20" s="403"/>
      <c r="AFK20" s="403"/>
      <c r="AFL20" s="403"/>
      <c r="AFM20" s="403"/>
      <c r="AFN20" s="403"/>
      <c r="AFO20" s="403"/>
      <c r="AFP20" s="403"/>
      <c r="AFQ20" s="403"/>
      <c r="AFR20" s="403"/>
      <c r="AFS20" s="403"/>
      <c r="AFT20" s="403"/>
      <c r="AFU20" s="403"/>
      <c r="AFV20" s="403"/>
      <c r="AFW20" s="403"/>
      <c r="AFX20" s="403"/>
      <c r="AFY20" s="403"/>
      <c r="AFZ20" s="403"/>
      <c r="AGA20" s="403"/>
      <c r="AGB20" s="403"/>
      <c r="AGC20" s="403"/>
      <c r="AGD20" s="403"/>
      <c r="AGE20" s="403"/>
      <c r="AGF20" s="403"/>
      <c r="AGG20" s="403" t="s">
        <v>99</v>
      </c>
      <c r="AGH20" s="403"/>
      <c r="AGI20" s="403"/>
      <c r="AGJ20" s="403"/>
      <c r="AGK20" s="403"/>
      <c r="AGL20" s="403"/>
      <c r="AGM20" s="403"/>
      <c r="AGN20" s="403"/>
      <c r="AGO20" s="403"/>
      <c r="AGP20" s="403"/>
      <c r="AGQ20" s="403"/>
      <c r="AGR20" s="403"/>
      <c r="AGS20" s="403"/>
      <c r="AGT20" s="403"/>
      <c r="AGU20" s="403"/>
      <c r="AGV20" s="403"/>
      <c r="AGW20" s="403"/>
      <c r="AGX20" s="403"/>
      <c r="AGY20" s="403"/>
      <c r="AGZ20" s="403"/>
      <c r="AHA20" s="403"/>
      <c r="AHB20" s="403"/>
      <c r="AHC20" s="403"/>
      <c r="AHD20" s="403"/>
      <c r="AHE20" s="403"/>
      <c r="AHF20" s="403"/>
      <c r="AHG20" s="403"/>
      <c r="AHH20" s="403"/>
      <c r="AHI20" s="403"/>
      <c r="AHJ20" s="403"/>
      <c r="AHK20" s="403"/>
      <c r="AHL20" s="403"/>
      <c r="AHM20" s="403" t="s">
        <v>99</v>
      </c>
      <c r="AHN20" s="403"/>
      <c r="AHO20" s="403"/>
      <c r="AHP20" s="403"/>
      <c r="AHQ20" s="403"/>
      <c r="AHR20" s="403"/>
      <c r="AHS20" s="403"/>
      <c r="AHT20" s="403"/>
      <c r="AHU20" s="403"/>
      <c r="AHV20" s="403"/>
      <c r="AHW20" s="403"/>
      <c r="AHX20" s="403"/>
      <c r="AHY20" s="403"/>
      <c r="AHZ20" s="403"/>
      <c r="AIA20" s="403"/>
      <c r="AIB20" s="403"/>
      <c r="AIC20" s="403"/>
      <c r="AID20" s="403"/>
      <c r="AIE20" s="403"/>
      <c r="AIF20" s="403"/>
      <c r="AIG20" s="403"/>
      <c r="AIH20" s="403"/>
      <c r="AII20" s="403"/>
      <c r="AIJ20" s="403"/>
      <c r="AIK20" s="403"/>
      <c r="AIL20" s="403"/>
      <c r="AIM20" s="403"/>
      <c r="AIN20" s="403"/>
      <c r="AIO20" s="403"/>
      <c r="AIP20" s="403"/>
      <c r="AIQ20" s="403"/>
      <c r="AIR20" s="403"/>
      <c r="AIS20" s="403" t="s">
        <v>99</v>
      </c>
      <c r="AIT20" s="403"/>
      <c r="AIU20" s="403"/>
      <c r="AIV20" s="403"/>
      <c r="AIW20" s="403"/>
      <c r="AIX20" s="403"/>
      <c r="AIY20" s="403"/>
      <c r="AIZ20" s="403"/>
      <c r="AJA20" s="403"/>
      <c r="AJB20" s="403"/>
      <c r="AJC20" s="403"/>
      <c r="AJD20" s="403"/>
      <c r="AJE20" s="403"/>
      <c r="AJF20" s="403"/>
      <c r="AJG20" s="403"/>
      <c r="AJH20" s="403"/>
      <c r="AJI20" s="403"/>
      <c r="AJJ20" s="403"/>
      <c r="AJK20" s="403"/>
      <c r="AJL20" s="403"/>
      <c r="AJM20" s="403"/>
      <c r="AJN20" s="403"/>
      <c r="AJO20" s="403"/>
      <c r="AJP20" s="403"/>
      <c r="AJQ20" s="403"/>
      <c r="AJR20" s="403"/>
      <c r="AJS20" s="403"/>
      <c r="AJT20" s="403"/>
      <c r="AJU20" s="403"/>
      <c r="AJV20" s="403"/>
      <c r="AJW20" s="403"/>
      <c r="AJX20" s="403"/>
      <c r="AJY20" s="403" t="s">
        <v>99</v>
      </c>
      <c r="AJZ20" s="403"/>
      <c r="AKA20" s="403"/>
      <c r="AKB20" s="403"/>
      <c r="AKC20" s="403"/>
      <c r="AKD20" s="403"/>
      <c r="AKE20" s="403"/>
      <c r="AKF20" s="403"/>
      <c r="AKG20" s="403"/>
      <c r="AKH20" s="403"/>
      <c r="AKI20" s="403"/>
      <c r="AKJ20" s="403"/>
      <c r="AKK20" s="403"/>
      <c r="AKL20" s="403"/>
      <c r="AKM20" s="403"/>
      <c r="AKN20" s="403"/>
      <c r="AKO20" s="403"/>
      <c r="AKP20" s="403"/>
      <c r="AKQ20" s="403"/>
      <c r="AKR20" s="403"/>
      <c r="AKS20" s="403"/>
      <c r="AKT20" s="403"/>
      <c r="AKU20" s="403"/>
      <c r="AKV20" s="403"/>
      <c r="AKW20" s="403"/>
      <c r="AKX20" s="403"/>
      <c r="AKY20" s="403"/>
      <c r="AKZ20" s="403"/>
      <c r="ALA20" s="403"/>
      <c r="ALB20" s="403"/>
      <c r="ALC20" s="403"/>
      <c r="ALD20" s="403"/>
      <c r="ALE20" s="403" t="s">
        <v>99</v>
      </c>
      <c r="ALF20" s="403"/>
      <c r="ALG20" s="403"/>
      <c r="ALH20" s="403"/>
      <c r="ALI20" s="403"/>
      <c r="ALJ20" s="403"/>
      <c r="ALK20" s="403"/>
      <c r="ALL20" s="403"/>
      <c r="ALM20" s="403"/>
      <c r="ALN20" s="403"/>
      <c r="ALO20" s="403"/>
      <c r="ALP20" s="403"/>
      <c r="ALQ20" s="403"/>
      <c r="ALR20" s="403"/>
      <c r="ALS20" s="403"/>
      <c r="ALT20" s="403"/>
      <c r="ALU20" s="403"/>
      <c r="ALV20" s="403"/>
      <c r="ALW20" s="403"/>
      <c r="ALX20" s="403"/>
      <c r="ALY20" s="403"/>
      <c r="ALZ20" s="403"/>
      <c r="AMA20" s="403"/>
      <c r="AMB20" s="403"/>
      <c r="AMC20" s="403"/>
      <c r="AMD20" s="403"/>
      <c r="AME20" s="403"/>
      <c r="AMF20" s="403"/>
      <c r="AMG20" s="403"/>
      <c r="AMH20" s="403"/>
      <c r="AMI20" s="403"/>
      <c r="AMJ20" s="403"/>
      <c r="AMK20" s="403" t="s">
        <v>99</v>
      </c>
      <c r="AML20" s="403"/>
      <c r="AMM20" s="403"/>
      <c r="AMN20" s="403"/>
      <c r="AMO20" s="403"/>
      <c r="AMP20" s="403"/>
      <c r="AMQ20" s="403"/>
      <c r="AMR20" s="403"/>
      <c r="AMS20" s="403"/>
      <c r="AMT20" s="403"/>
      <c r="AMU20" s="403"/>
      <c r="AMV20" s="403"/>
      <c r="AMW20" s="403"/>
      <c r="AMX20" s="403"/>
      <c r="AMY20" s="403"/>
      <c r="AMZ20" s="403"/>
      <c r="ANA20" s="403"/>
      <c r="ANB20" s="403"/>
      <c r="ANC20" s="403"/>
      <c r="AND20" s="403"/>
      <c r="ANE20" s="403"/>
      <c r="ANF20" s="403"/>
      <c r="ANG20" s="403"/>
      <c r="ANH20" s="403"/>
      <c r="ANI20" s="403"/>
      <c r="ANJ20" s="403"/>
      <c r="ANK20" s="403"/>
      <c r="ANL20" s="403"/>
      <c r="ANM20" s="403"/>
      <c r="ANN20" s="403"/>
      <c r="ANO20" s="403"/>
      <c r="ANP20" s="403"/>
      <c r="ANQ20" s="403" t="s">
        <v>99</v>
      </c>
      <c r="ANR20" s="403"/>
      <c r="ANS20" s="403"/>
      <c r="ANT20" s="403"/>
      <c r="ANU20" s="403"/>
      <c r="ANV20" s="403"/>
      <c r="ANW20" s="403"/>
      <c r="ANX20" s="403"/>
      <c r="ANY20" s="403"/>
      <c r="ANZ20" s="403"/>
      <c r="AOA20" s="403"/>
      <c r="AOB20" s="403"/>
      <c r="AOC20" s="403"/>
      <c r="AOD20" s="403"/>
      <c r="AOE20" s="403"/>
      <c r="AOF20" s="403"/>
      <c r="AOG20" s="403"/>
      <c r="AOH20" s="403"/>
      <c r="AOI20" s="403"/>
      <c r="AOJ20" s="403"/>
      <c r="AOK20" s="403"/>
      <c r="AOL20" s="403"/>
      <c r="AOM20" s="403"/>
      <c r="AON20" s="403"/>
      <c r="AOO20" s="403"/>
      <c r="AOP20" s="403"/>
      <c r="AOQ20" s="403"/>
      <c r="AOR20" s="403"/>
      <c r="AOS20" s="403"/>
      <c r="AOT20" s="403"/>
      <c r="AOU20" s="403"/>
      <c r="AOV20" s="403"/>
      <c r="AOW20" s="403" t="s">
        <v>99</v>
      </c>
      <c r="AOX20" s="403"/>
      <c r="AOY20" s="403"/>
      <c r="AOZ20" s="403"/>
      <c r="APA20" s="403"/>
      <c r="APB20" s="403"/>
      <c r="APC20" s="403"/>
      <c r="APD20" s="403"/>
      <c r="APE20" s="403"/>
      <c r="APF20" s="403"/>
      <c r="APG20" s="403"/>
      <c r="APH20" s="403"/>
      <c r="API20" s="403"/>
      <c r="APJ20" s="403"/>
      <c r="APK20" s="403"/>
      <c r="APL20" s="403"/>
      <c r="APM20" s="403"/>
      <c r="APN20" s="403"/>
      <c r="APO20" s="403"/>
      <c r="APP20" s="403"/>
      <c r="APQ20" s="403"/>
      <c r="APR20" s="403"/>
      <c r="APS20" s="403"/>
      <c r="APT20" s="403"/>
      <c r="APU20" s="403"/>
      <c r="APV20" s="403"/>
      <c r="APW20" s="403"/>
      <c r="APX20" s="403"/>
      <c r="APY20" s="403"/>
      <c r="APZ20" s="403"/>
      <c r="AQA20" s="403"/>
      <c r="AQB20" s="403"/>
      <c r="AQC20" s="403" t="s">
        <v>99</v>
      </c>
      <c r="AQD20" s="403"/>
      <c r="AQE20" s="403"/>
      <c r="AQF20" s="403"/>
      <c r="AQG20" s="403"/>
      <c r="AQH20" s="403"/>
      <c r="AQI20" s="403"/>
      <c r="AQJ20" s="403"/>
      <c r="AQK20" s="403"/>
      <c r="AQL20" s="403"/>
      <c r="AQM20" s="403"/>
      <c r="AQN20" s="403"/>
      <c r="AQO20" s="403"/>
      <c r="AQP20" s="403"/>
      <c r="AQQ20" s="403"/>
      <c r="AQR20" s="403"/>
      <c r="AQS20" s="403"/>
      <c r="AQT20" s="403"/>
      <c r="AQU20" s="403"/>
      <c r="AQV20" s="403"/>
      <c r="AQW20" s="403"/>
      <c r="AQX20" s="403"/>
      <c r="AQY20" s="403"/>
      <c r="AQZ20" s="403"/>
      <c r="ARA20" s="403"/>
      <c r="ARB20" s="403"/>
      <c r="ARC20" s="403"/>
      <c r="ARD20" s="403"/>
      <c r="ARE20" s="403"/>
      <c r="ARF20" s="403"/>
      <c r="ARG20" s="403"/>
      <c r="ARH20" s="403"/>
      <c r="ARI20" s="403" t="s">
        <v>99</v>
      </c>
      <c r="ARJ20" s="403"/>
      <c r="ARK20" s="403"/>
      <c r="ARL20" s="403"/>
      <c r="ARM20" s="403"/>
      <c r="ARN20" s="403"/>
      <c r="ARO20" s="403"/>
      <c r="ARP20" s="403"/>
      <c r="ARQ20" s="403"/>
      <c r="ARR20" s="403"/>
      <c r="ARS20" s="403"/>
      <c r="ART20" s="403"/>
      <c r="ARU20" s="403"/>
      <c r="ARV20" s="403"/>
      <c r="ARW20" s="403"/>
      <c r="ARX20" s="403"/>
      <c r="ARY20" s="403"/>
      <c r="ARZ20" s="403"/>
      <c r="ASA20" s="403"/>
      <c r="ASB20" s="403"/>
      <c r="ASC20" s="403"/>
      <c r="ASD20" s="403"/>
      <c r="ASE20" s="403"/>
      <c r="ASF20" s="403"/>
      <c r="ASG20" s="403"/>
      <c r="ASH20" s="403"/>
      <c r="ASI20" s="403"/>
      <c r="ASJ20" s="403"/>
      <c r="ASK20" s="403"/>
      <c r="ASL20" s="403"/>
      <c r="ASM20" s="403"/>
      <c r="ASN20" s="403"/>
      <c r="ASO20" s="403" t="s">
        <v>99</v>
      </c>
      <c r="ASP20" s="403"/>
      <c r="ASQ20" s="403"/>
      <c r="ASR20" s="403"/>
      <c r="ASS20" s="403"/>
      <c r="AST20" s="403"/>
      <c r="ASU20" s="403"/>
      <c r="ASV20" s="403"/>
      <c r="ASW20" s="403"/>
      <c r="ASX20" s="403"/>
      <c r="ASY20" s="403"/>
      <c r="ASZ20" s="403"/>
      <c r="ATA20" s="403"/>
      <c r="ATB20" s="403"/>
      <c r="ATC20" s="403"/>
      <c r="ATD20" s="403"/>
      <c r="ATE20" s="403"/>
      <c r="ATF20" s="403"/>
      <c r="ATG20" s="403"/>
      <c r="ATH20" s="403"/>
      <c r="ATI20" s="403"/>
      <c r="ATJ20" s="403"/>
      <c r="ATK20" s="403"/>
      <c r="ATL20" s="403"/>
      <c r="ATM20" s="403"/>
      <c r="ATN20" s="403"/>
      <c r="ATO20" s="403"/>
      <c r="ATP20" s="403"/>
      <c r="ATQ20" s="403"/>
      <c r="ATR20" s="403"/>
      <c r="ATS20" s="403"/>
      <c r="ATT20" s="403"/>
      <c r="ATU20" s="403" t="s">
        <v>99</v>
      </c>
      <c r="ATV20" s="403"/>
      <c r="ATW20" s="403"/>
      <c r="ATX20" s="403"/>
      <c r="ATY20" s="403"/>
      <c r="ATZ20" s="403"/>
      <c r="AUA20" s="403"/>
      <c r="AUB20" s="403"/>
      <c r="AUC20" s="403"/>
      <c r="AUD20" s="403"/>
      <c r="AUE20" s="403"/>
      <c r="AUF20" s="403"/>
      <c r="AUG20" s="403"/>
      <c r="AUH20" s="403"/>
      <c r="AUI20" s="403"/>
      <c r="AUJ20" s="403"/>
      <c r="AUK20" s="403"/>
      <c r="AUL20" s="403"/>
      <c r="AUM20" s="403"/>
      <c r="AUN20" s="403"/>
      <c r="AUO20" s="403"/>
      <c r="AUP20" s="403"/>
      <c r="AUQ20" s="403"/>
      <c r="AUR20" s="403"/>
      <c r="AUS20" s="403"/>
      <c r="AUT20" s="403"/>
      <c r="AUU20" s="403"/>
      <c r="AUV20" s="403"/>
      <c r="AUW20" s="403"/>
      <c r="AUX20" s="403"/>
      <c r="AUY20" s="403"/>
      <c r="AUZ20" s="403"/>
      <c r="AVA20" s="403" t="s">
        <v>99</v>
      </c>
      <c r="AVB20" s="403"/>
      <c r="AVC20" s="403"/>
      <c r="AVD20" s="403"/>
      <c r="AVE20" s="403"/>
      <c r="AVF20" s="403"/>
      <c r="AVG20" s="403"/>
      <c r="AVH20" s="403"/>
      <c r="AVI20" s="403"/>
      <c r="AVJ20" s="403"/>
      <c r="AVK20" s="403"/>
      <c r="AVL20" s="403"/>
      <c r="AVM20" s="403"/>
      <c r="AVN20" s="403"/>
      <c r="AVO20" s="403"/>
      <c r="AVP20" s="403"/>
      <c r="AVQ20" s="403"/>
      <c r="AVR20" s="403"/>
      <c r="AVS20" s="403"/>
      <c r="AVT20" s="403"/>
      <c r="AVU20" s="403"/>
      <c r="AVV20" s="403"/>
      <c r="AVW20" s="403"/>
      <c r="AVX20" s="403"/>
      <c r="AVY20" s="403"/>
      <c r="AVZ20" s="403"/>
      <c r="AWA20" s="403"/>
      <c r="AWB20" s="403"/>
      <c r="AWC20" s="403"/>
      <c r="AWD20" s="403"/>
      <c r="AWE20" s="403"/>
      <c r="AWF20" s="403"/>
      <c r="AWG20" s="403" t="s">
        <v>99</v>
      </c>
      <c r="AWH20" s="403"/>
      <c r="AWI20" s="403"/>
      <c r="AWJ20" s="403"/>
      <c r="AWK20" s="403"/>
      <c r="AWL20" s="403"/>
      <c r="AWM20" s="403"/>
      <c r="AWN20" s="403"/>
      <c r="AWO20" s="403"/>
      <c r="AWP20" s="403"/>
      <c r="AWQ20" s="403"/>
      <c r="AWR20" s="403"/>
      <c r="AWS20" s="403"/>
      <c r="AWT20" s="403"/>
      <c r="AWU20" s="403"/>
      <c r="AWV20" s="403"/>
      <c r="AWW20" s="403"/>
      <c r="AWX20" s="403"/>
      <c r="AWY20" s="403"/>
      <c r="AWZ20" s="403"/>
      <c r="AXA20" s="403"/>
      <c r="AXB20" s="403"/>
      <c r="AXC20" s="403"/>
      <c r="AXD20" s="403"/>
      <c r="AXE20" s="403"/>
      <c r="AXF20" s="403"/>
      <c r="AXG20" s="403"/>
      <c r="AXH20" s="403"/>
      <c r="AXI20" s="403"/>
      <c r="AXJ20" s="403"/>
      <c r="AXK20" s="403"/>
      <c r="AXL20" s="403"/>
      <c r="AXM20" s="403" t="s">
        <v>99</v>
      </c>
      <c r="AXN20" s="403"/>
      <c r="AXO20" s="403"/>
      <c r="AXP20" s="403"/>
      <c r="AXQ20" s="403"/>
      <c r="AXR20" s="403"/>
      <c r="AXS20" s="403"/>
      <c r="AXT20" s="403"/>
      <c r="AXU20" s="403"/>
      <c r="AXV20" s="403"/>
      <c r="AXW20" s="403"/>
      <c r="AXX20" s="403"/>
      <c r="AXY20" s="403"/>
      <c r="AXZ20" s="403"/>
      <c r="AYA20" s="403"/>
      <c r="AYB20" s="403"/>
      <c r="AYC20" s="403"/>
      <c r="AYD20" s="403"/>
      <c r="AYE20" s="403"/>
      <c r="AYF20" s="403"/>
      <c r="AYG20" s="403"/>
      <c r="AYH20" s="403"/>
      <c r="AYI20" s="403"/>
      <c r="AYJ20" s="403"/>
      <c r="AYK20" s="403"/>
      <c r="AYL20" s="403"/>
      <c r="AYM20" s="403"/>
      <c r="AYN20" s="403"/>
      <c r="AYO20" s="403"/>
      <c r="AYP20" s="403"/>
      <c r="AYQ20" s="403"/>
      <c r="AYR20" s="403"/>
      <c r="AYS20" s="403" t="s">
        <v>99</v>
      </c>
      <c r="AYT20" s="403"/>
      <c r="AYU20" s="403"/>
      <c r="AYV20" s="403"/>
      <c r="AYW20" s="403"/>
      <c r="AYX20" s="403"/>
      <c r="AYY20" s="403"/>
      <c r="AYZ20" s="403"/>
      <c r="AZA20" s="403"/>
      <c r="AZB20" s="403"/>
      <c r="AZC20" s="403"/>
      <c r="AZD20" s="403"/>
      <c r="AZE20" s="403"/>
      <c r="AZF20" s="403"/>
      <c r="AZG20" s="403"/>
      <c r="AZH20" s="403"/>
      <c r="AZI20" s="403"/>
      <c r="AZJ20" s="403"/>
      <c r="AZK20" s="403"/>
      <c r="AZL20" s="403"/>
      <c r="AZM20" s="403"/>
      <c r="AZN20" s="403"/>
      <c r="AZO20" s="403"/>
      <c r="AZP20" s="403"/>
      <c r="AZQ20" s="403"/>
      <c r="AZR20" s="403"/>
      <c r="AZS20" s="403"/>
      <c r="AZT20" s="403"/>
      <c r="AZU20" s="403"/>
      <c r="AZV20" s="403"/>
      <c r="AZW20" s="403"/>
      <c r="AZX20" s="403"/>
      <c r="AZY20" s="403" t="s">
        <v>99</v>
      </c>
      <c r="AZZ20" s="403"/>
      <c r="BAA20" s="403"/>
      <c r="BAB20" s="403"/>
      <c r="BAC20" s="403"/>
      <c r="BAD20" s="403"/>
      <c r="BAE20" s="403"/>
      <c r="BAF20" s="403"/>
      <c r="BAG20" s="403"/>
      <c r="BAH20" s="403"/>
      <c r="BAI20" s="403"/>
      <c r="BAJ20" s="403"/>
      <c r="BAK20" s="403"/>
      <c r="BAL20" s="403"/>
      <c r="BAM20" s="403"/>
      <c r="BAN20" s="403"/>
      <c r="BAO20" s="403"/>
      <c r="BAP20" s="403"/>
      <c r="BAQ20" s="403"/>
      <c r="BAR20" s="403"/>
      <c r="BAS20" s="403"/>
      <c r="BAT20" s="403"/>
      <c r="BAU20" s="403"/>
      <c r="BAV20" s="403"/>
      <c r="BAW20" s="403"/>
      <c r="BAX20" s="403"/>
      <c r="BAY20" s="403"/>
      <c r="BAZ20" s="403"/>
      <c r="BBA20" s="403"/>
      <c r="BBB20" s="403"/>
      <c r="BBC20" s="403"/>
      <c r="BBD20" s="403"/>
      <c r="BBE20" s="403" t="s">
        <v>99</v>
      </c>
      <c r="BBF20" s="403"/>
      <c r="BBG20" s="403"/>
      <c r="BBH20" s="403"/>
      <c r="BBI20" s="403"/>
      <c r="BBJ20" s="403"/>
      <c r="BBK20" s="403"/>
      <c r="BBL20" s="403"/>
      <c r="BBM20" s="403"/>
      <c r="BBN20" s="403"/>
      <c r="BBO20" s="403"/>
      <c r="BBP20" s="403"/>
      <c r="BBQ20" s="403"/>
      <c r="BBR20" s="403"/>
      <c r="BBS20" s="403"/>
      <c r="BBT20" s="403"/>
      <c r="BBU20" s="403"/>
      <c r="BBV20" s="403"/>
      <c r="BBW20" s="403"/>
      <c r="BBX20" s="403"/>
      <c r="BBY20" s="403"/>
      <c r="BBZ20" s="403"/>
      <c r="BCA20" s="403"/>
      <c r="BCB20" s="403"/>
      <c r="BCC20" s="403"/>
      <c r="BCD20" s="403"/>
      <c r="BCE20" s="403"/>
      <c r="BCF20" s="403"/>
      <c r="BCG20" s="403"/>
      <c r="BCH20" s="403"/>
      <c r="BCI20" s="403"/>
      <c r="BCJ20" s="403"/>
      <c r="BCK20" s="403" t="s">
        <v>99</v>
      </c>
      <c r="BCL20" s="403"/>
      <c r="BCM20" s="403"/>
      <c r="BCN20" s="403"/>
      <c r="BCO20" s="403"/>
      <c r="BCP20" s="403"/>
      <c r="BCQ20" s="403"/>
      <c r="BCR20" s="403"/>
      <c r="BCS20" s="403"/>
      <c r="BCT20" s="403"/>
      <c r="BCU20" s="403"/>
      <c r="BCV20" s="403"/>
      <c r="BCW20" s="403"/>
      <c r="BCX20" s="403"/>
      <c r="BCY20" s="403"/>
      <c r="BCZ20" s="403"/>
      <c r="BDA20" s="403"/>
      <c r="BDB20" s="403"/>
      <c r="BDC20" s="403"/>
      <c r="BDD20" s="403"/>
      <c r="BDE20" s="403"/>
      <c r="BDF20" s="403"/>
      <c r="BDG20" s="403"/>
      <c r="BDH20" s="403"/>
      <c r="BDI20" s="403"/>
      <c r="BDJ20" s="403"/>
      <c r="BDK20" s="403"/>
      <c r="BDL20" s="403"/>
      <c r="BDM20" s="403"/>
      <c r="BDN20" s="403"/>
      <c r="BDO20" s="403"/>
      <c r="BDP20" s="403"/>
      <c r="BDQ20" s="403" t="s">
        <v>99</v>
      </c>
      <c r="BDR20" s="403"/>
      <c r="BDS20" s="403"/>
      <c r="BDT20" s="403"/>
      <c r="BDU20" s="403"/>
      <c r="BDV20" s="403"/>
      <c r="BDW20" s="403"/>
      <c r="BDX20" s="403"/>
      <c r="BDY20" s="403"/>
      <c r="BDZ20" s="403"/>
      <c r="BEA20" s="403"/>
      <c r="BEB20" s="403"/>
      <c r="BEC20" s="403"/>
      <c r="BED20" s="403"/>
      <c r="BEE20" s="403"/>
      <c r="BEF20" s="403"/>
      <c r="BEG20" s="403"/>
      <c r="BEH20" s="403"/>
      <c r="BEI20" s="403"/>
      <c r="BEJ20" s="403"/>
      <c r="BEK20" s="403"/>
      <c r="BEL20" s="403"/>
      <c r="BEM20" s="403"/>
      <c r="BEN20" s="403"/>
      <c r="BEO20" s="403"/>
      <c r="BEP20" s="403"/>
      <c r="BEQ20" s="403"/>
      <c r="BER20" s="403"/>
      <c r="BES20" s="403"/>
      <c r="BET20" s="403"/>
      <c r="BEU20" s="403"/>
      <c r="BEV20" s="403"/>
      <c r="BEW20" s="403" t="s">
        <v>99</v>
      </c>
      <c r="BEX20" s="403"/>
      <c r="BEY20" s="403"/>
      <c r="BEZ20" s="403"/>
      <c r="BFA20" s="403"/>
      <c r="BFB20" s="403"/>
      <c r="BFC20" s="403"/>
      <c r="BFD20" s="403"/>
      <c r="BFE20" s="403"/>
      <c r="BFF20" s="403"/>
      <c r="BFG20" s="403"/>
      <c r="BFH20" s="403"/>
      <c r="BFI20" s="403"/>
      <c r="BFJ20" s="403"/>
      <c r="BFK20" s="403"/>
      <c r="BFL20" s="403"/>
      <c r="BFM20" s="403"/>
      <c r="BFN20" s="403"/>
      <c r="BFO20" s="403"/>
      <c r="BFP20" s="403"/>
      <c r="BFQ20" s="403"/>
      <c r="BFR20" s="403"/>
      <c r="BFS20" s="403"/>
      <c r="BFT20" s="403"/>
      <c r="BFU20" s="403"/>
      <c r="BFV20" s="403"/>
      <c r="BFW20" s="403"/>
      <c r="BFX20" s="403"/>
      <c r="BFY20" s="403"/>
      <c r="BFZ20" s="403"/>
      <c r="BGA20" s="403"/>
      <c r="BGB20" s="403"/>
      <c r="BGC20" s="403" t="s">
        <v>99</v>
      </c>
      <c r="BGD20" s="403"/>
      <c r="BGE20" s="403"/>
      <c r="BGF20" s="403"/>
      <c r="BGG20" s="403"/>
      <c r="BGH20" s="403"/>
      <c r="BGI20" s="403"/>
      <c r="BGJ20" s="403"/>
      <c r="BGK20" s="403"/>
      <c r="BGL20" s="403"/>
      <c r="BGM20" s="403"/>
      <c r="BGN20" s="403"/>
      <c r="BGO20" s="403"/>
      <c r="BGP20" s="403"/>
      <c r="BGQ20" s="403"/>
      <c r="BGR20" s="403"/>
      <c r="BGS20" s="403"/>
      <c r="BGT20" s="403"/>
      <c r="BGU20" s="403"/>
      <c r="BGV20" s="403"/>
      <c r="BGW20" s="403"/>
      <c r="BGX20" s="403"/>
      <c r="BGY20" s="403"/>
      <c r="BGZ20" s="403"/>
      <c r="BHA20" s="403"/>
      <c r="BHB20" s="403"/>
      <c r="BHC20" s="403"/>
      <c r="BHD20" s="403"/>
      <c r="BHE20" s="403"/>
      <c r="BHF20" s="403"/>
      <c r="BHG20" s="403"/>
      <c r="BHH20" s="403"/>
      <c r="BHI20" s="403" t="s">
        <v>99</v>
      </c>
      <c r="BHJ20" s="403"/>
      <c r="BHK20" s="403"/>
      <c r="BHL20" s="403"/>
      <c r="BHM20" s="403"/>
      <c r="BHN20" s="403"/>
      <c r="BHO20" s="403"/>
      <c r="BHP20" s="403"/>
      <c r="BHQ20" s="403"/>
      <c r="BHR20" s="403"/>
      <c r="BHS20" s="403"/>
      <c r="BHT20" s="403"/>
      <c r="BHU20" s="403"/>
      <c r="BHV20" s="403"/>
      <c r="BHW20" s="403"/>
      <c r="BHX20" s="403"/>
      <c r="BHY20" s="403"/>
      <c r="BHZ20" s="403"/>
      <c r="BIA20" s="403"/>
      <c r="BIB20" s="403"/>
      <c r="BIC20" s="403"/>
      <c r="BID20" s="403"/>
      <c r="BIE20" s="403"/>
      <c r="BIF20" s="403"/>
      <c r="BIG20" s="403"/>
      <c r="BIH20" s="403"/>
      <c r="BII20" s="403"/>
      <c r="BIJ20" s="403"/>
      <c r="BIK20" s="403"/>
      <c r="BIL20" s="403"/>
      <c r="BIM20" s="403"/>
      <c r="BIN20" s="403"/>
      <c r="BIO20" s="403" t="s">
        <v>99</v>
      </c>
      <c r="BIP20" s="403"/>
      <c r="BIQ20" s="403"/>
      <c r="BIR20" s="403"/>
      <c r="BIS20" s="403"/>
      <c r="BIT20" s="403"/>
      <c r="BIU20" s="403"/>
      <c r="BIV20" s="403"/>
      <c r="BIW20" s="403"/>
      <c r="BIX20" s="403"/>
      <c r="BIY20" s="403"/>
      <c r="BIZ20" s="403"/>
      <c r="BJA20" s="403"/>
      <c r="BJB20" s="403"/>
      <c r="BJC20" s="403"/>
      <c r="BJD20" s="403"/>
      <c r="BJE20" s="403"/>
      <c r="BJF20" s="403"/>
      <c r="BJG20" s="403"/>
      <c r="BJH20" s="403"/>
      <c r="BJI20" s="403"/>
      <c r="BJJ20" s="403"/>
      <c r="BJK20" s="403"/>
      <c r="BJL20" s="403"/>
      <c r="BJM20" s="403"/>
      <c r="BJN20" s="403"/>
      <c r="BJO20" s="403"/>
      <c r="BJP20" s="403"/>
      <c r="BJQ20" s="403"/>
      <c r="BJR20" s="403"/>
      <c r="BJS20" s="403"/>
      <c r="BJT20" s="403"/>
      <c r="BJU20" s="403" t="s">
        <v>99</v>
      </c>
      <c r="BJV20" s="403"/>
      <c r="BJW20" s="403"/>
      <c r="BJX20" s="403"/>
      <c r="BJY20" s="403"/>
      <c r="BJZ20" s="403"/>
      <c r="BKA20" s="403"/>
      <c r="BKB20" s="403"/>
      <c r="BKC20" s="403"/>
      <c r="BKD20" s="403"/>
      <c r="BKE20" s="403"/>
      <c r="BKF20" s="403"/>
      <c r="BKG20" s="403"/>
      <c r="BKH20" s="403"/>
      <c r="BKI20" s="403"/>
      <c r="BKJ20" s="403"/>
      <c r="BKK20" s="403"/>
      <c r="BKL20" s="403"/>
      <c r="BKM20" s="403"/>
      <c r="BKN20" s="403"/>
      <c r="BKO20" s="403"/>
      <c r="BKP20" s="403"/>
      <c r="BKQ20" s="403"/>
      <c r="BKR20" s="403"/>
      <c r="BKS20" s="403"/>
      <c r="BKT20" s="403"/>
      <c r="BKU20" s="403"/>
      <c r="BKV20" s="403"/>
      <c r="BKW20" s="403"/>
      <c r="BKX20" s="403"/>
      <c r="BKY20" s="403"/>
      <c r="BKZ20" s="403"/>
      <c r="BLA20" s="403" t="s">
        <v>99</v>
      </c>
      <c r="BLB20" s="403"/>
      <c r="BLC20" s="403"/>
      <c r="BLD20" s="403"/>
      <c r="BLE20" s="403"/>
      <c r="BLF20" s="403"/>
      <c r="BLG20" s="403"/>
      <c r="BLH20" s="403"/>
      <c r="BLI20" s="403"/>
      <c r="BLJ20" s="403"/>
      <c r="BLK20" s="403"/>
      <c r="BLL20" s="403"/>
      <c r="BLM20" s="403"/>
      <c r="BLN20" s="403"/>
      <c r="BLO20" s="403"/>
      <c r="BLP20" s="403"/>
      <c r="BLQ20" s="403"/>
      <c r="BLR20" s="403"/>
      <c r="BLS20" s="403"/>
      <c r="BLT20" s="403"/>
      <c r="BLU20" s="403"/>
      <c r="BLV20" s="403"/>
      <c r="BLW20" s="403"/>
      <c r="BLX20" s="403"/>
      <c r="BLY20" s="403"/>
      <c r="BLZ20" s="403"/>
      <c r="BMA20" s="403"/>
      <c r="BMB20" s="403"/>
      <c r="BMC20" s="403"/>
      <c r="BMD20" s="403"/>
      <c r="BME20" s="403"/>
      <c r="BMF20" s="403"/>
      <c r="BMG20" s="403" t="s">
        <v>99</v>
      </c>
      <c r="BMH20" s="403"/>
      <c r="BMI20" s="403"/>
      <c r="BMJ20" s="403"/>
      <c r="BMK20" s="403"/>
      <c r="BML20" s="403"/>
      <c r="BMM20" s="403"/>
      <c r="BMN20" s="403"/>
      <c r="BMO20" s="403"/>
      <c r="BMP20" s="403"/>
      <c r="BMQ20" s="403"/>
      <c r="BMR20" s="403"/>
      <c r="BMS20" s="403"/>
      <c r="BMT20" s="403"/>
      <c r="BMU20" s="403"/>
      <c r="BMV20" s="403"/>
      <c r="BMW20" s="403"/>
      <c r="BMX20" s="403"/>
      <c r="BMY20" s="403"/>
      <c r="BMZ20" s="403"/>
      <c r="BNA20" s="403"/>
      <c r="BNB20" s="403"/>
      <c r="BNC20" s="403"/>
      <c r="BND20" s="403"/>
      <c r="BNE20" s="403"/>
      <c r="BNF20" s="403"/>
      <c r="BNG20" s="403"/>
      <c r="BNH20" s="403"/>
      <c r="BNI20" s="403"/>
      <c r="BNJ20" s="403"/>
      <c r="BNK20" s="403"/>
      <c r="BNL20" s="403"/>
      <c r="BNM20" s="403" t="s">
        <v>99</v>
      </c>
      <c r="BNN20" s="403"/>
      <c r="BNO20" s="403"/>
      <c r="BNP20" s="403"/>
      <c r="BNQ20" s="403"/>
      <c r="BNR20" s="403"/>
      <c r="BNS20" s="403"/>
      <c r="BNT20" s="403"/>
      <c r="BNU20" s="403"/>
      <c r="BNV20" s="403"/>
      <c r="BNW20" s="403"/>
      <c r="BNX20" s="403"/>
      <c r="BNY20" s="403"/>
      <c r="BNZ20" s="403"/>
      <c r="BOA20" s="403"/>
      <c r="BOB20" s="403"/>
      <c r="BOC20" s="403"/>
      <c r="BOD20" s="403"/>
      <c r="BOE20" s="403"/>
      <c r="BOF20" s="403"/>
      <c r="BOG20" s="403"/>
      <c r="BOH20" s="403"/>
      <c r="BOI20" s="403"/>
      <c r="BOJ20" s="403"/>
      <c r="BOK20" s="403"/>
      <c r="BOL20" s="403"/>
      <c r="BOM20" s="403"/>
      <c r="BON20" s="403"/>
      <c r="BOO20" s="403"/>
      <c r="BOP20" s="403"/>
      <c r="BOQ20" s="403"/>
      <c r="BOR20" s="403"/>
      <c r="BOS20" s="403" t="s">
        <v>99</v>
      </c>
      <c r="BOT20" s="403"/>
      <c r="BOU20" s="403"/>
      <c r="BOV20" s="403"/>
      <c r="BOW20" s="403"/>
      <c r="BOX20" s="403"/>
      <c r="BOY20" s="403"/>
      <c r="BOZ20" s="403"/>
      <c r="BPA20" s="403"/>
      <c r="BPB20" s="403"/>
      <c r="BPC20" s="403"/>
      <c r="BPD20" s="403"/>
      <c r="BPE20" s="403"/>
      <c r="BPF20" s="403"/>
      <c r="BPG20" s="403"/>
      <c r="BPH20" s="403"/>
      <c r="BPI20" s="403"/>
      <c r="BPJ20" s="403"/>
      <c r="BPK20" s="403"/>
      <c r="BPL20" s="403"/>
      <c r="BPM20" s="403"/>
      <c r="BPN20" s="403"/>
      <c r="BPO20" s="403"/>
      <c r="BPP20" s="403"/>
      <c r="BPQ20" s="403"/>
      <c r="BPR20" s="403"/>
      <c r="BPS20" s="403"/>
      <c r="BPT20" s="403"/>
      <c r="BPU20" s="403"/>
      <c r="BPV20" s="403"/>
      <c r="BPW20" s="403"/>
      <c r="BPX20" s="403"/>
      <c r="BPY20" s="403" t="s">
        <v>99</v>
      </c>
      <c r="BPZ20" s="403"/>
      <c r="BQA20" s="403"/>
      <c r="BQB20" s="403"/>
      <c r="BQC20" s="403"/>
      <c r="BQD20" s="403"/>
      <c r="BQE20" s="403"/>
      <c r="BQF20" s="403"/>
      <c r="BQG20" s="403"/>
      <c r="BQH20" s="403"/>
      <c r="BQI20" s="403"/>
      <c r="BQJ20" s="403"/>
      <c r="BQK20" s="403"/>
      <c r="BQL20" s="403"/>
      <c r="BQM20" s="403"/>
      <c r="BQN20" s="403"/>
      <c r="BQO20" s="403"/>
      <c r="BQP20" s="403"/>
      <c r="BQQ20" s="403"/>
      <c r="BQR20" s="403"/>
      <c r="BQS20" s="403"/>
      <c r="BQT20" s="403"/>
      <c r="BQU20" s="403"/>
      <c r="BQV20" s="403"/>
      <c r="BQW20" s="403"/>
      <c r="BQX20" s="403"/>
      <c r="BQY20" s="403"/>
      <c r="BQZ20" s="403"/>
      <c r="BRA20" s="403"/>
      <c r="BRB20" s="403"/>
      <c r="BRC20" s="403"/>
      <c r="BRD20" s="403"/>
      <c r="BRE20" s="403" t="s">
        <v>99</v>
      </c>
      <c r="BRF20" s="403"/>
      <c r="BRG20" s="403"/>
      <c r="BRH20" s="403"/>
      <c r="BRI20" s="403"/>
      <c r="BRJ20" s="403"/>
      <c r="BRK20" s="403"/>
      <c r="BRL20" s="403"/>
      <c r="BRM20" s="403"/>
      <c r="BRN20" s="403"/>
      <c r="BRO20" s="403"/>
      <c r="BRP20" s="403"/>
      <c r="BRQ20" s="403"/>
      <c r="BRR20" s="403"/>
      <c r="BRS20" s="403"/>
      <c r="BRT20" s="403"/>
      <c r="BRU20" s="403"/>
      <c r="BRV20" s="403"/>
      <c r="BRW20" s="403"/>
      <c r="BRX20" s="403"/>
      <c r="BRY20" s="403"/>
      <c r="BRZ20" s="403"/>
      <c r="BSA20" s="403"/>
      <c r="BSB20" s="403"/>
      <c r="BSC20" s="403"/>
      <c r="BSD20" s="403"/>
      <c r="BSE20" s="403"/>
      <c r="BSF20" s="403"/>
      <c r="BSG20" s="403"/>
      <c r="BSH20" s="403"/>
      <c r="BSI20" s="403"/>
      <c r="BSJ20" s="403"/>
      <c r="BSK20" s="403" t="s">
        <v>99</v>
      </c>
      <c r="BSL20" s="403"/>
      <c r="BSM20" s="403"/>
      <c r="BSN20" s="403"/>
      <c r="BSO20" s="403"/>
      <c r="BSP20" s="403"/>
      <c r="BSQ20" s="403"/>
      <c r="BSR20" s="403"/>
      <c r="BSS20" s="403"/>
      <c r="BST20" s="403"/>
      <c r="BSU20" s="403"/>
      <c r="BSV20" s="403"/>
      <c r="BSW20" s="403"/>
      <c r="BSX20" s="403"/>
      <c r="BSY20" s="403"/>
      <c r="BSZ20" s="403"/>
      <c r="BTA20" s="403"/>
      <c r="BTB20" s="403"/>
      <c r="BTC20" s="403"/>
      <c r="BTD20" s="403"/>
      <c r="BTE20" s="403"/>
      <c r="BTF20" s="403"/>
      <c r="BTG20" s="403"/>
      <c r="BTH20" s="403"/>
      <c r="BTI20" s="403"/>
      <c r="BTJ20" s="403"/>
      <c r="BTK20" s="403"/>
      <c r="BTL20" s="403"/>
      <c r="BTM20" s="403"/>
      <c r="BTN20" s="403"/>
      <c r="BTO20" s="403"/>
      <c r="BTP20" s="403"/>
      <c r="BTQ20" s="403" t="s">
        <v>99</v>
      </c>
      <c r="BTR20" s="403"/>
      <c r="BTS20" s="403"/>
      <c r="BTT20" s="403"/>
      <c r="BTU20" s="403"/>
      <c r="BTV20" s="403"/>
      <c r="BTW20" s="403"/>
      <c r="BTX20" s="403"/>
      <c r="BTY20" s="403"/>
      <c r="BTZ20" s="403"/>
      <c r="BUA20" s="403"/>
      <c r="BUB20" s="403"/>
      <c r="BUC20" s="403"/>
      <c r="BUD20" s="403"/>
      <c r="BUE20" s="403"/>
      <c r="BUF20" s="403"/>
      <c r="BUG20" s="403"/>
      <c r="BUH20" s="403"/>
      <c r="BUI20" s="403"/>
      <c r="BUJ20" s="403"/>
      <c r="BUK20" s="403"/>
      <c r="BUL20" s="403"/>
      <c r="BUM20" s="403"/>
      <c r="BUN20" s="403"/>
      <c r="BUO20" s="403"/>
      <c r="BUP20" s="403"/>
      <c r="BUQ20" s="403"/>
      <c r="BUR20" s="403"/>
      <c r="BUS20" s="403"/>
      <c r="BUT20" s="403"/>
      <c r="BUU20" s="403"/>
      <c r="BUV20" s="403"/>
      <c r="BUW20" s="403" t="s">
        <v>99</v>
      </c>
      <c r="BUX20" s="403"/>
      <c r="BUY20" s="403"/>
      <c r="BUZ20" s="403"/>
      <c r="BVA20" s="403"/>
      <c r="BVB20" s="403"/>
      <c r="BVC20" s="403"/>
      <c r="BVD20" s="403"/>
      <c r="BVE20" s="403"/>
      <c r="BVF20" s="403"/>
      <c r="BVG20" s="403"/>
      <c r="BVH20" s="403"/>
      <c r="BVI20" s="403"/>
      <c r="BVJ20" s="403"/>
      <c r="BVK20" s="403"/>
      <c r="BVL20" s="403"/>
      <c r="BVM20" s="403"/>
      <c r="BVN20" s="403"/>
      <c r="BVO20" s="403"/>
      <c r="BVP20" s="403"/>
      <c r="BVQ20" s="403"/>
      <c r="BVR20" s="403"/>
      <c r="BVS20" s="403"/>
      <c r="BVT20" s="403"/>
      <c r="BVU20" s="403"/>
      <c r="BVV20" s="403"/>
      <c r="BVW20" s="403"/>
      <c r="BVX20" s="403"/>
      <c r="BVY20" s="403"/>
      <c r="BVZ20" s="403"/>
      <c r="BWA20" s="403"/>
      <c r="BWB20" s="403"/>
      <c r="BWC20" s="403" t="s">
        <v>99</v>
      </c>
      <c r="BWD20" s="403"/>
      <c r="BWE20" s="403"/>
      <c r="BWF20" s="403"/>
      <c r="BWG20" s="403"/>
      <c r="BWH20" s="403"/>
      <c r="BWI20" s="403"/>
      <c r="BWJ20" s="403"/>
      <c r="BWK20" s="403"/>
      <c r="BWL20" s="403"/>
      <c r="BWM20" s="403"/>
      <c r="BWN20" s="403"/>
      <c r="BWO20" s="403"/>
      <c r="BWP20" s="403"/>
      <c r="BWQ20" s="403"/>
      <c r="BWR20" s="403"/>
      <c r="BWS20" s="403"/>
      <c r="BWT20" s="403"/>
      <c r="BWU20" s="403"/>
      <c r="BWV20" s="403"/>
      <c r="BWW20" s="403"/>
      <c r="BWX20" s="403"/>
      <c r="BWY20" s="403"/>
      <c r="BWZ20" s="403"/>
      <c r="BXA20" s="403"/>
      <c r="BXB20" s="403"/>
      <c r="BXC20" s="403"/>
      <c r="BXD20" s="403"/>
      <c r="BXE20" s="403"/>
      <c r="BXF20" s="403"/>
      <c r="BXG20" s="403"/>
      <c r="BXH20" s="403"/>
      <c r="BXI20" s="403" t="s">
        <v>99</v>
      </c>
      <c r="BXJ20" s="403"/>
      <c r="BXK20" s="403"/>
      <c r="BXL20" s="403"/>
      <c r="BXM20" s="403"/>
      <c r="BXN20" s="403"/>
      <c r="BXO20" s="403"/>
      <c r="BXP20" s="403"/>
      <c r="BXQ20" s="403"/>
      <c r="BXR20" s="403"/>
      <c r="BXS20" s="403"/>
      <c r="BXT20" s="403"/>
      <c r="BXU20" s="403"/>
      <c r="BXV20" s="403"/>
      <c r="BXW20" s="403"/>
      <c r="BXX20" s="403"/>
      <c r="BXY20" s="403"/>
      <c r="BXZ20" s="403"/>
      <c r="BYA20" s="403"/>
      <c r="BYB20" s="403"/>
      <c r="BYC20" s="403"/>
      <c r="BYD20" s="403"/>
      <c r="BYE20" s="403"/>
      <c r="BYF20" s="403"/>
      <c r="BYG20" s="403"/>
      <c r="BYH20" s="403"/>
      <c r="BYI20" s="403"/>
      <c r="BYJ20" s="403"/>
      <c r="BYK20" s="403"/>
      <c r="BYL20" s="403"/>
      <c r="BYM20" s="403"/>
      <c r="BYN20" s="403"/>
      <c r="BYO20" s="403" t="s">
        <v>99</v>
      </c>
      <c r="BYP20" s="403"/>
      <c r="BYQ20" s="403"/>
      <c r="BYR20" s="403"/>
      <c r="BYS20" s="403"/>
      <c r="BYT20" s="403"/>
      <c r="BYU20" s="403"/>
      <c r="BYV20" s="403"/>
      <c r="BYW20" s="403"/>
      <c r="BYX20" s="403"/>
      <c r="BYY20" s="403"/>
      <c r="BYZ20" s="403"/>
      <c r="BZA20" s="403"/>
      <c r="BZB20" s="403"/>
      <c r="BZC20" s="403"/>
      <c r="BZD20" s="403"/>
      <c r="BZE20" s="403"/>
      <c r="BZF20" s="403"/>
      <c r="BZG20" s="403"/>
      <c r="BZH20" s="403"/>
      <c r="BZI20" s="403"/>
      <c r="BZJ20" s="403"/>
      <c r="BZK20" s="403"/>
      <c r="BZL20" s="403"/>
      <c r="BZM20" s="403"/>
      <c r="BZN20" s="403"/>
      <c r="BZO20" s="403"/>
      <c r="BZP20" s="403"/>
      <c r="BZQ20" s="403"/>
      <c r="BZR20" s="403"/>
      <c r="BZS20" s="403"/>
      <c r="BZT20" s="403"/>
      <c r="BZU20" s="403" t="s">
        <v>99</v>
      </c>
      <c r="BZV20" s="403"/>
      <c r="BZW20" s="403"/>
      <c r="BZX20" s="403"/>
      <c r="BZY20" s="403"/>
      <c r="BZZ20" s="403"/>
      <c r="CAA20" s="403"/>
      <c r="CAB20" s="403"/>
      <c r="CAC20" s="403"/>
      <c r="CAD20" s="403"/>
      <c r="CAE20" s="403"/>
      <c r="CAF20" s="403"/>
      <c r="CAG20" s="403"/>
      <c r="CAH20" s="403"/>
      <c r="CAI20" s="403"/>
      <c r="CAJ20" s="403"/>
      <c r="CAK20" s="403"/>
      <c r="CAL20" s="403"/>
      <c r="CAM20" s="403"/>
      <c r="CAN20" s="403"/>
      <c r="CAO20" s="403"/>
      <c r="CAP20" s="403"/>
      <c r="CAQ20" s="403"/>
      <c r="CAR20" s="403"/>
      <c r="CAS20" s="403"/>
      <c r="CAT20" s="403"/>
      <c r="CAU20" s="403"/>
      <c r="CAV20" s="403"/>
      <c r="CAW20" s="403"/>
      <c r="CAX20" s="403"/>
      <c r="CAY20" s="403"/>
      <c r="CAZ20" s="403"/>
      <c r="CBA20" s="403" t="s">
        <v>99</v>
      </c>
      <c r="CBB20" s="403"/>
      <c r="CBC20" s="403"/>
      <c r="CBD20" s="403"/>
      <c r="CBE20" s="403"/>
      <c r="CBF20" s="403"/>
      <c r="CBG20" s="403"/>
      <c r="CBH20" s="403"/>
      <c r="CBI20" s="403"/>
      <c r="CBJ20" s="403"/>
      <c r="CBK20" s="403"/>
      <c r="CBL20" s="403"/>
      <c r="CBM20" s="403"/>
      <c r="CBN20" s="403"/>
      <c r="CBO20" s="403"/>
      <c r="CBP20" s="403"/>
      <c r="CBQ20" s="403"/>
      <c r="CBR20" s="403"/>
      <c r="CBS20" s="403"/>
      <c r="CBT20" s="403"/>
      <c r="CBU20" s="403"/>
      <c r="CBV20" s="403"/>
      <c r="CBW20" s="403"/>
      <c r="CBX20" s="403"/>
      <c r="CBY20" s="403"/>
      <c r="CBZ20" s="403"/>
      <c r="CCA20" s="403"/>
      <c r="CCB20" s="403"/>
      <c r="CCC20" s="403"/>
      <c r="CCD20" s="403"/>
      <c r="CCE20" s="403"/>
      <c r="CCF20" s="403"/>
      <c r="CCG20" s="403" t="s">
        <v>99</v>
      </c>
      <c r="CCH20" s="403"/>
      <c r="CCI20" s="403"/>
      <c r="CCJ20" s="403"/>
      <c r="CCK20" s="403"/>
      <c r="CCL20" s="403"/>
      <c r="CCM20" s="403"/>
      <c r="CCN20" s="403"/>
      <c r="CCO20" s="403"/>
      <c r="CCP20" s="403"/>
      <c r="CCQ20" s="403"/>
      <c r="CCR20" s="403"/>
      <c r="CCS20" s="403"/>
      <c r="CCT20" s="403"/>
      <c r="CCU20" s="403"/>
      <c r="CCV20" s="403"/>
      <c r="CCW20" s="403"/>
      <c r="CCX20" s="403"/>
      <c r="CCY20" s="403"/>
      <c r="CCZ20" s="403"/>
      <c r="CDA20" s="403"/>
      <c r="CDB20" s="403"/>
      <c r="CDC20" s="403"/>
      <c r="CDD20" s="403"/>
      <c r="CDE20" s="403"/>
      <c r="CDF20" s="403"/>
      <c r="CDG20" s="403"/>
      <c r="CDH20" s="403"/>
      <c r="CDI20" s="403"/>
      <c r="CDJ20" s="403"/>
      <c r="CDK20" s="403"/>
      <c r="CDL20" s="403"/>
      <c r="CDM20" s="403" t="s">
        <v>99</v>
      </c>
      <c r="CDN20" s="403"/>
      <c r="CDO20" s="403"/>
      <c r="CDP20" s="403"/>
      <c r="CDQ20" s="403"/>
      <c r="CDR20" s="403"/>
      <c r="CDS20" s="403"/>
      <c r="CDT20" s="403"/>
      <c r="CDU20" s="403"/>
      <c r="CDV20" s="403"/>
      <c r="CDW20" s="403"/>
      <c r="CDX20" s="403"/>
      <c r="CDY20" s="403"/>
      <c r="CDZ20" s="403"/>
      <c r="CEA20" s="403"/>
      <c r="CEB20" s="403"/>
      <c r="CEC20" s="403"/>
      <c r="CED20" s="403"/>
      <c r="CEE20" s="403"/>
      <c r="CEF20" s="403"/>
      <c r="CEG20" s="403"/>
      <c r="CEH20" s="403"/>
      <c r="CEI20" s="403"/>
      <c r="CEJ20" s="403"/>
      <c r="CEK20" s="403"/>
      <c r="CEL20" s="403"/>
      <c r="CEM20" s="403"/>
      <c r="CEN20" s="403"/>
      <c r="CEO20" s="403"/>
      <c r="CEP20" s="403"/>
      <c r="CEQ20" s="403"/>
      <c r="CER20" s="403"/>
      <c r="CES20" s="403" t="s">
        <v>99</v>
      </c>
      <c r="CET20" s="403"/>
      <c r="CEU20" s="403"/>
      <c r="CEV20" s="403"/>
      <c r="CEW20" s="403"/>
      <c r="CEX20" s="403"/>
      <c r="CEY20" s="403"/>
      <c r="CEZ20" s="403"/>
      <c r="CFA20" s="403"/>
      <c r="CFB20" s="403"/>
      <c r="CFC20" s="403"/>
      <c r="CFD20" s="403"/>
      <c r="CFE20" s="403"/>
      <c r="CFF20" s="403"/>
      <c r="CFG20" s="403"/>
      <c r="CFH20" s="403"/>
      <c r="CFI20" s="403"/>
      <c r="CFJ20" s="403"/>
      <c r="CFK20" s="403"/>
      <c r="CFL20" s="403"/>
      <c r="CFM20" s="403"/>
      <c r="CFN20" s="403"/>
      <c r="CFO20" s="403"/>
      <c r="CFP20" s="403"/>
      <c r="CFQ20" s="403"/>
      <c r="CFR20" s="403"/>
      <c r="CFS20" s="403"/>
      <c r="CFT20" s="403"/>
      <c r="CFU20" s="403"/>
      <c r="CFV20" s="403"/>
      <c r="CFW20" s="403"/>
      <c r="CFX20" s="403"/>
      <c r="CFY20" s="403" t="s">
        <v>99</v>
      </c>
      <c r="CFZ20" s="403"/>
      <c r="CGA20" s="403"/>
      <c r="CGB20" s="403"/>
      <c r="CGC20" s="403"/>
      <c r="CGD20" s="403"/>
      <c r="CGE20" s="403"/>
      <c r="CGF20" s="403"/>
      <c r="CGG20" s="403"/>
      <c r="CGH20" s="403"/>
      <c r="CGI20" s="403"/>
      <c r="CGJ20" s="403"/>
      <c r="CGK20" s="403"/>
      <c r="CGL20" s="403"/>
      <c r="CGM20" s="403"/>
      <c r="CGN20" s="403"/>
      <c r="CGO20" s="403"/>
      <c r="CGP20" s="403"/>
      <c r="CGQ20" s="403"/>
      <c r="CGR20" s="403"/>
      <c r="CGS20" s="403"/>
      <c r="CGT20" s="403"/>
      <c r="CGU20" s="403"/>
      <c r="CGV20" s="403"/>
      <c r="CGW20" s="403"/>
      <c r="CGX20" s="403"/>
      <c r="CGY20" s="403"/>
      <c r="CGZ20" s="403"/>
      <c r="CHA20" s="403"/>
      <c r="CHB20" s="403"/>
      <c r="CHC20" s="403"/>
      <c r="CHD20" s="403"/>
      <c r="CHE20" s="403" t="s">
        <v>99</v>
      </c>
      <c r="CHF20" s="403"/>
      <c r="CHG20" s="403"/>
      <c r="CHH20" s="403"/>
      <c r="CHI20" s="403"/>
      <c r="CHJ20" s="403"/>
      <c r="CHK20" s="403"/>
      <c r="CHL20" s="403"/>
      <c r="CHM20" s="403"/>
      <c r="CHN20" s="403"/>
      <c r="CHO20" s="403"/>
      <c r="CHP20" s="403"/>
      <c r="CHQ20" s="403"/>
      <c r="CHR20" s="403"/>
      <c r="CHS20" s="403"/>
      <c r="CHT20" s="403"/>
      <c r="CHU20" s="403"/>
      <c r="CHV20" s="403"/>
      <c r="CHW20" s="403"/>
      <c r="CHX20" s="403"/>
      <c r="CHY20" s="403"/>
      <c r="CHZ20" s="403"/>
      <c r="CIA20" s="403"/>
      <c r="CIB20" s="403"/>
      <c r="CIC20" s="403"/>
      <c r="CID20" s="403"/>
      <c r="CIE20" s="403"/>
      <c r="CIF20" s="403"/>
      <c r="CIG20" s="403"/>
      <c r="CIH20" s="403"/>
      <c r="CII20" s="403"/>
      <c r="CIJ20" s="403"/>
      <c r="CIK20" s="403" t="s">
        <v>99</v>
      </c>
      <c r="CIL20" s="403"/>
      <c r="CIM20" s="403"/>
      <c r="CIN20" s="403"/>
      <c r="CIO20" s="403"/>
      <c r="CIP20" s="403"/>
      <c r="CIQ20" s="403"/>
      <c r="CIR20" s="403"/>
      <c r="CIS20" s="403"/>
      <c r="CIT20" s="403"/>
      <c r="CIU20" s="403"/>
      <c r="CIV20" s="403"/>
      <c r="CIW20" s="403"/>
      <c r="CIX20" s="403"/>
      <c r="CIY20" s="403"/>
      <c r="CIZ20" s="403"/>
      <c r="CJA20" s="403"/>
      <c r="CJB20" s="403"/>
      <c r="CJC20" s="403"/>
      <c r="CJD20" s="403"/>
      <c r="CJE20" s="403"/>
      <c r="CJF20" s="403"/>
      <c r="CJG20" s="403"/>
      <c r="CJH20" s="403"/>
      <c r="CJI20" s="403"/>
      <c r="CJJ20" s="403"/>
      <c r="CJK20" s="403"/>
      <c r="CJL20" s="403"/>
      <c r="CJM20" s="403"/>
      <c r="CJN20" s="403"/>
      <c r="CJO20" s="403"/>
      <c r="CJP20" s="403"/>
      <c r="CJQ20" s="403" t="s">
        <v>99</v>
      </c>
      <c r="CJR20" s="403"/>
      <c r="CJS20" s="403"/>
      <c r="CJT20" s="403"/>
      <c r="CJU20" s="403"/>
      <c r="CJV20" s="403"/>
      <c r="CJW20" s="403"/>
      <c r="CJX20" s="403"/>
      <c r="CJY20" s="403"/>
      <c r="CJZ20" s="403"/>
      <c r="CKA20" s="403"/>
      <c r="CKB20" s="403"/>
      <c r="CKC20" s="403"/>
      <c r="CKD20" s="403"/>
      <c r="CKE20" s="403"/>
      <c r="CKF20" s="403"/>
      <c r="CKG20" s="403"/>
      <c r="CKH20" s="403"/>
      <c r="CKI20" s="403"/>
      <c r="CKJ20" s="403"/>
      <c r="CKK20" s="403"/>
      <c r="CKL20" s="403"/>
      <c r="CKM20" s="403"/>
      <c r="CKN20" s="403"/>
      <c r="CKO20" s="403"/>
      <c r="CKP20" s="403"/>
      <c r="CKQ20" s="403"/>
      <c r="CKR20" s="403"/>
      <c r="CKS20" s="403"/>
      <c r="CKT20" s="403"/>
      <c r="CKU20" s="403"/>
      <c r="CKV20" s="403"/>
      <c r="CKW20" s="403" t="s">
        <v>99</v>
      </c>
      <c r="CKX20" s="403"/>
      <c r="CKY20" s="403"/>
      <c r="CKZ20" s="403"/>
      <c r="CLA20" s="403"/>
      <c r="CLB20" s="403"/>
      <c r="CLC20" s="403"/>
      <c r="CLD20" s="403"/>
      <c r="CLE20" s="403"/>
      <c r="CLF20" s="403"/>
      <c r="CLG20" s="403"/>
      <c r="CLH20" s="403"/>
      <c r="CLI20" s="403"/>
      <c r="CLJ20" s="403"/>
      <c r="CLK20" s="403"/>
      <c r="CLL20" s="403"/>
      <c r="CLM20" s="403"/>
      <c r="CLN20" s="403"/>
      <c r="CLO20" s="403"/>
      <c r="CLP20" s="403"/>
      <c r="CLQ20" s="403"/>
      <c r="CLR20" s="403"/>
      <c r="CLS20" s="403"/>
      <c r="CLT20" s="403"/>
      <c r="CLU20" s="403"/>
      <c r="CLV20" s="403"/>
      <c r="CLW20" s="403"/>
      <c r="CLX20" s="403"/>
      <c r="CLY20" s="403"/>
      <c r="CLZ20" s="403"/>
      <c r="CMA20" s="403"/>
      <c r="CMB20" s="403"/>
      <c r="CMC20" s="403" t="s">
        <v>99</v>
      </c>
      <c r="CMD20" s="403"/>
      <c r="CME20" s="403"/>
      <c r="CMF20" s="403"/>
      <c r="CMG20" s="403"/>
      <c r="CMH20" s="403"/>
      <c r="CMI20" s="403"/>
      <c r="CMJ20" s="403"/>
      <c r="CMK20" s="403"/>
      <c r="CML20" s="403"/>
      <c r="CMM20" s="403"/>
      <c r="CMN20" s="403"/>
      <c r="CMO20" s="403"/>
      <c r="CMP20" s="403"/>
      <c r="CMQ20" s="403"/>
      <c r="CMR20" s="403"/>
      <c r="CMS20" s="403"/>
      <c r="CMT20" s="403"/>
      <c r="CMU20" s="403"/>
      <c r="CMV20" s="403"/>
      <c r="CMW20" s="403"/>
      <c r="CMX20" s="403"/>
      <c r="CMY20" s="403"/>
      <c r="CMZ20" s="403"/>
      <c r="CNA20" s="403"/>
      <c r="CNB20" s="403"/>
      <c r="CNC20" s="403"/>
      <c r="CND20" s="403"/>
      <c r="CNE20" s="403"/>
      <c r="CNF20" s="403"/>
      <c r="CNG20" s="403"/>
      <c r="CNH20" s="403"/>
      <c r="CNI20" s="403" t="s">
        <v>99</v>
      </c>
      <c r="CNJ20" s="403"/>
      <c r="CNK20" s="403"/>
      <c r="CNL20" s="403"/>
      <c r="CNM20" s="403"/>
      <c r="CNN20" s="403"/>
      <c r="CNO20" s="403"/>
      <c r="CNP20" s="403"/>
      <c r="CNQ20" s="403"/>
      <c r="CNR20" s="403"/>
      <c r="CNS20" s="403"/>
      <c r="CNT20" s="403"/>
      <c r="CNU20" s="403"/>
      <c r="CNV20" s="403"/>
      <c r="CNW20" s="403"/>
      <c r="CNX20" s="403"/>
      <c r="CNY20" s="403"/>
      <c r="CNZ20" s="403"/>
      <c r="COA20" s="403"/>
      <c r="COB20" s="403"/>
      <c r="COC20" s="403"/>
      <c r="COD20" s="403"/>
      <c r="COE20" s="403"/>
      <c r="COF20" s="403"/>
      <c r="COG20" s="403"/>
      <c r="COH20" s="403"/>
      <c r="COI20" s="403"/>
      <c r="COJ20" s="403"/>
      <c r="COK20" s="403"/>
      <c r="COL20" s="403"/>
      <c r="COM20" s="403"/>
      <c r="CON20" s="403"/>
      <c r="COO20" s="403" t="s">
        <v>99</v>
      </c>
      <c r="COP20" s="403"/>
      <c r="COQ20" s="403"/>
      <c r="COR20" s="403"/>
      <c r="COS20" s="403"/>
      <c r="COT20" s="403"/>
      <c r="COU20" s="403"/>
      <c r="COV20" s="403"/>
      <c r="COW20" s="403"/>
      <c r="COX20" s="403"/>
      <c r="COY20" s="403"/>
      <c r="COZ20" s="403"/>
      <c r="CPA20" s="403"/>
      <c r="CPB20" s="403"/>
      <c r="CPC20" s="403"/>
      <c r="CPD20" s="403"/>
      <c r="CPE20" s="403"/>
      <c r="CPF20" s="403"/>
      <c r="CPG20" s="403"/>
      <c r="CPH20" s="403"/>
      <c r="CPI20" s="403"/>
      <c r="CPJ20" s="403"/>
      <c r="CPK20" s="403"/>
      <c r="CPL20" s="403"/>
      <c r="CPM20" s="403"/>
      <c r="CPN20" s="403"/>
      <c r="CPO20" s="403"/>
      <c r="CPP20" s="403"/>
      <c r="CPQ20" s="403"/>
      <c r="CPR20" s="403"/>
      <c r="CPS20" s="403"/>
      <c r="CPT20" s="403"/>
      <c r="CPU20" s="403" t="s">
        <v>99</v>
      </c>
      <c r="CPV20" s="403"/>
      <c r="CPW20" s="403"/>
      <c r="CPX20" s="403"/>
      <c r="CPY20" s="403"/>
      <c r="CPZ20" s="403"/>
      <c r="CQA20" s="403"/>
      <c r="CQB20" s="403"/>
      <c r="CQC20" s="403"/>
      <c r="CQD20" s="403"/>
      <c r="CQE20" s="403"/>
      <c r="CQF20" s="403"/>
      <c r="CQG20" s="403"/>
      <c r="CQH20" s="403"/>
      <c r="CQI20" s="403"/>
      <c r="CQJ20" s="403"/>
      <c r="CQK20" s="403"/>
      <c r="CQL20" s="403"/>
      <c r="CQM20" s="403"/>
      <c r="CQN20" s="403"/>
      <c r="CQO20" s="403"/>
      <c r="CQP20" s="403"/>
      <c r="CQQ20" s="403"/>
      <c r="CQR20" s="403"/>
      <c r="CQS20" s="403"/>
      <c r="CQT20" s="403"/>
      <c r="CQU20" s="403"/>
      <c r="CQV20" s="403"/>
      <c r="CQW20" s="403"/>
      <c r="CQX20" s="403"/>
      <c r="CQY20" s="403"/>
      <c r="CQZ20" s="403"/>
      <c r="CRA20" s="403" t="s">
        <v>99</v>
      </c>
      <c r="CRB20" s="403"/>
      <c r="CRC20" s="403"/>
      <c r="CRD20" s="403"/>
      <c r="CRE20" s="403"/>
      <c r="CRF20" s="403"/>
      <c r="CRG20" s="403"/>
      <c r="CRH20" s="403"/>
      <c r="CRI20" s="403"/>
      <c r="CRJ20" s="403"/>
      <c r="CRK20" s="403"/>
      <c r="CRL20" s="403"/>
      <c r="CRM20" s="403"/>
      <c r="CRN20" s="403"/>
      <c r="CRO20" s="403"/>
      <c r="CRP20" s="403"/>
      <c r="CRQ20" s="403"/>
      <c r="CRR20" s="403"/>
      <c r="CRS20" s="403"/>
      <c r="CRT20" s="403"/>
      <c r="CRU20" s="403"/>
      <c r="CRV20" s="403"/>
      <c r="CRW20" s="403"/>
      <c r="CRX20" s="403"/>
      <c r="CRY20" s="403"/>
      <c r="CRZ20" s="403"/>
      <c r="CSA20" s="403"/>
      <c r="CSB20" s="403"/>
      <c r="CSC20" s="403"/>
      <c r="CSD20" s="403"/>
      <c r="CSE20" s="403"/>
      <c r="CSF20" s="403"/>
      <c r="CSG20" s="403" t="s">
        <v>99</v>
      </c>
      <c r="CSH20" s="403"/>
      <c r="CSI20" s="403"/>
      <c r="CSJ20" s="403"/>
      <c r="CSK20" s="403"/>
      <c r="CSL20" s="403"/>
      <c r="CSM20" s="403"/>
      <c r="CSN20" s="403"/>
      <c r="CSO20" s="403"/>
      <c r="CSP20" s="403"/>
      <c r="CSQ20" s="403"/>
      <c r="CSR20" s="403"/>
      <c r="CSS20" s="403"/>
      <c r="CST20" s="403"/>
      <c r="CSU20" s="403"/>
      <c r="CSV20" s="403"/>
      <c r="CSW20" s="403"/>
      <c r="CSX20" s="403"/>
      <c r="CSY20" s="403"/>
      <c r="CSZ20" s="403"/>
      <c r="CTA20" s="403"/>
      <c r="CTB20" s="403"/>
      <c r="CTC20" s="403"/>
      <c r="CTD20" s="403"/>
      <c r="CTE20" s="403"/>
      <c r="CTF20" s="403"/>
      <c r="CTG20" s="403"/>
      <c r="CTH20" s="403"/>
      <c r="CTI20" s="403"/>
      <c r="CTJ20" s="403"/>
      <c r="CTK20" s="403"/>
      <c r="CTL20" s="403"/>
      <c r="CTM20" s="403" t="s">
        <v>99</v>
      </c>
      <c r="CTN20" s="403"/>
      <c r="CTO20" s="403"/>
      <c r="CTP20" s="403"/>
      <c r="CTQ20" s="403"/>
      <c r="CTR20" s="403"/>
      <c r="CTS20" s="403"/>
      <c r="CTT20" s="403"/>
      <c r="CTU20" s="403"/>
      <c r="CTV20" s="403"/>
      <c r="CTW20" s="403"/>
      <c r="CTX20" s="403"/>
      <c r="CTY20" s="403"/>
      <c r="CTZ20" s="403"/>
      <c r="CUA20" s="403"/>
      <c r="CUB20" s="403"/>
      <c r="CUC20" s="403"/>
      <c r="CUD20" s="403"/>
      <c r="CUE20" s="403"/>
      <c r="CUF20" s="403"/>
      <c r="CUG20" s="403"/>
      <c r="CUH20" s="403"/>
      <c r="CUI20" s="403"/>
      <c r="CUJ20" s="403"/>
      <c r="CUK20" s="403"/>
      <c r="CUL20" s="403"/>
      <c r="CUM20" s="403"/>
      <c r="CUN20" s="403"/>
      <c r="CUO20" s="403"/>
      <c r="CUP20" s="403"/>
      <c r="CUQ20" s="403"/>
      <c r="CUR20" s="403"/>
      <c r="CUS20" s="403" t="s">
        <v>99</v>
      </c>
      <c r="CUT20" s="403"/>
      <c r="CUU20" s="403"/>
      <c r="CUV20" s="403"/>
      <c r="CUW20" s="403"/>
      <c r="CUX20" s="403"/>
      <c r="CUY20" s="403"/>
      <c r="CUZ20" s="403"/>
      <c r="CVA20" s="403"/>
      <c r="CVB20" s="403"/>
      <c r="CVC20" s="403"/>
      <c r="CVD20" s="403"/>
      <c r="CVE20" s="403"/>
      <c r="CVF20" s="403"/>
      <c r="CVG20" s="403"/>
      <c r="CVH20" s="403"/>
      <c r="CVI20" s="403"/>
      <c r="CVJ20" s="403"/>
      <c r="CVK20" s="403"/>
      <c r="CVL20" s="403"/>
      <c r="CVM20" s="403"/>
      <c r="CVN20" s="403"/>
      <c r="CVO20" s="403"/>
      <c r="CVP20" s="403"/>
      <c r="CVQ20" s="403"/>
      <c r="CVR20" s="403"/>
      <c r="CVS20" s="403"/>
      <c r="CVT20" s="403"/>
      <c r="CVU20" s="403"/>
      <c r="CVV20" s="403"/>
      <c r="CVW20" s="403"/>
      <c r="CVX20" s="403"/>
      <c r="CVY20" s="403" t="s">
        <v>99</v>
      </c>
      <c r="CVZ20" s="403"/>
      <c r="CWA20" s="403"/>
      <c r="CWB20" s="403"/>
      <c r="CWC20" s="403"/>
      <c r="CWD20" s="403"/>
      <c r="CWE20" s="403"/>
      <c r="CWF20" s="403"/>
      <c r="CWG20" s="403"/>
      <c r="CWH20" s="403"/>
      <c r="CWI20" s="403"/>
      <c r="CWJ20" s="403"/>
      <c r="CWK20" s="403"/>
      <c r="CWL20" s="403"/>
      <c r="CWM20" s="403"/>
      <c r="CWN20" s="403"/>
      <c r="CWO20" s="403"/>
      <c r="CWP20" s="403"/>
      <c r="CWQ20" s="403"/>
      <c r="CWR20" s="403"/>
      <c r="CWS20" s="403"/>
      <c r="CWT20" s="403"/>
      <c r="CWU20" s="403"/>
      <c r="CWV20" s="403"/>
      <c r="CWW20" s="403"/>
      <c r="CWX20" s="403"/>
      <c r="CWY20" s="403"/>
      <c r="CWZ20" s="403"/>
      <c r="CXA20" s="403"/>
      <c r="CXB20" s="403"/>
      <c r="CXC20" s="403"/>
      <c r="CXD20" s="403"/>
      <c r="CXE20" s="403" t="s">
        <v>99</v>
      </c>
      <c r="CXF20" s="403"/>
      <c r="CXG20" s="403"/>
      <c r="CXH20" s="403"/>
      <c r="CXI20" s="403"/>
      <c r="CXJ20" s="403"/>
      <c r="CXK20" s="403"/>
      <c r="CXL20" s="403"/>
      <c r="CXM20" s="403"/>
      <c r="CXN20" s="403"/>
      <c r="CXO20" s="403"/>
      <c r="CXP20" s="403"/>
      <c r="CXQ20" s="403"/>
      <c r="CXR20" s="403"/>
      <c r="CXS20" s="403"/>
      <c r="CXT20" s="403"/>
      <c r="CXU20" s="403"/>
      <c r="CXV20" s="403"/>
      <c r="CXW20" s="403"/>
      <c r="CXX20" s="403"/>
      <c r="CXY20" s="403"/>
      <c r="CXZ20" s="403"/>
      <c r="CYA20" s="403"/>
      <c r="CYB20" s="403"/>
      <c r="CYC20" s="403"/>
      <c r="CYD20" s="403"/>
      <c r="CYE20" s="403"/>
      <c r="CYF20" s="403"/>
      <c r="CYG20" s="403"/>
      <c r="CYH20" s="403"/>
      <c r="CYI20" s="403"/>
      <c r="CYJ20" s="403"/>
      <c r="CYK20" s="403" t="s">
        <v>99</v>
      </c>
      <c r="CYL20" s="403"/>
      <c r="CYM20" s="403"/>
      <c r="CYN20" s="403"/>
      <c r="CYO20" s="403"/>
      <c r="CYP20" s="403"/>
      <c r="CYQ20" s="403"/>
      <c r="CYR20" s="403"/>
      <c r="CYS20" s="403"/>
      <c r="CYT20" s="403"/>
      <c r="CYU20" s="403"/>
      <c r="CYV20" s="403"/>
      <c r="CYW20" s="403"/>
      <c r="CYX20" s="403"/>
      <c r="CYY20" s="403"/>
      <c r="CYZ20" s="403"/>
      <c r="CZA20" s="403"/>
      <c r="CZB20" s="403"/>
      <c r="CZC20" s="403"/>
      <c r="CZD20" s="403"/>
      <c r="CZE20" s="403"/>
      <c r="CZF20" s="403"/>
      <c r="CZG20" s="403"/>
      <c r="CZH20" s="403"/>
      <c r="CZI20" s="403"/>
      <c r="CZJ20" s="403"/>
      <c r="CZK20" s="403"/>
      <c r="CZL20" s="403"/>
      <c r="CZM20" s="403"/>
      <c r="CZN20" s="403"/>
      <c r="CZO20" s="403"/>
      <c r="CZP20" s="403"/>
      <c r="CZQ20" s="403" t="s">
        <v>99</v>
      </c>
      <c r="CZR20" s="403"/>
      <c r="CZS20" s="403"/>
      <c r="CZT20" s="403"/>
      <c r="CZU20" s="403"/>
      <c r="CZV20" s="403"/>
      <c r="CZW20" s="403"/>
      <c r="CZX20" s="403"/>
      <c r="CZY20" s="403"/>
      <c r="CZZ20" s="403"/>
      <c r="DAA20" s="403"/>
      <c r="DAB20" s="403"/>
      <c r="DAC20" s="403"/>
      <c r="DAD20" s="403"/>
      <c r="DAE20" s="403"/>
      <c r="DAF20" s="403"/>
      <c r="DAG20" s="403"/>
      <c r="DAH20" s="403"/>
      <c r="DAI20" s="403"/>
      <c r="DAJ20" s="403"/>
      <c r="DAK20" s="403"/>
      <c r="DAL20" s="403"/>
      <c r="DAM20" s="403"/>
      <c r="DAN20" s="403"/>
      <c r="DAO20" s="403"/>
      <c r="DAP20" s="403"/>
      <c r="DAQ20" s="403"/>
      <c r="DAR20" s="403"/>
      <c r="DAS20" s="403"/>
      <c r="DAT20" s="403"/>
      <c r="DAU20" s="403"/>
      <c r="DAV20" s="403"/>
      <c r="DAW20" s="403" t="s">
        <v>99</v>
      </c>
      <c r="DAX20" s="403"/>
      <c r="DAY20" s="403"/>
      <c r="DAZ20" s="403"/>
      <c r="DBA20" s="403"/>
      <c r="DBB20" s="403"/>
      <c r="DBC20" s="403"/>
      <c r="DBD20" s="403"/>
      <c r="DBE20" s="403"/>
      <c r="DBF20" s="403"/>
      <c r="DBG20" s="403"/>
      <c r="DBH20" s="403"/>
      <c r="DBI20" s="403"/>
      <c r="DBJ20" s="403"/>
      <c r="DBK20" s="403"/>
      <c r="DBL20" s="403"/>
      <c r="DBM20" s="403"/>
      <c r="DBN20" s="403"/>
      <c r="DBO20" s="403"/>
      <c r="DBP20" s="403"/>
      <c r="DBQ20" s="403"/>
      <c r="DBR20" s="403"/>
      <c r="DBS20" s="403"/>
      <c r="DBT20" s="403"/>
      <c r="DBU20" s="403"/>
      <c r="DBV20" s="403"/>
      <c r="DBW20" s="403"/>
      <c r="DBX20" s="403"/>
      <c r="DBY20" s="403"/>
      <c r="DBZ20" s="403"/>
      <c r="DCA20" s="403"/>
      <c r="DCB20" s="403"/>
      <c r="DCC20" s="403" t="s">
        <v>99</v>
      </c>
      <c r="DCD20" s="403"/>
      <c r="DCE20" s="403"/>
      <c r="DCF20" s="403"/>
      <c r="DCG20" s="403"/>
      <c r="DCH20" s="403"/>
      <c r="DCI20" s="403"/>
      <c r="DCJ20" s="403"/>
      <c r="DCK20" s="403"/>
      <c r="DCL20" s="403"/>
      <c r="DCM20" s="403"/>
      <c r="DCN20" s="403"/>
      <c r="DCO20" s="403"/>
      <c r="DCP20" s="403"/>
      <c r="DCQ20" s="403"/>
      <c r="DCR20" s="403"/>
      <c r="DCS20" s="403"/>
      <c r="DCT20" s="403"/>
      <c r="DCU20" s="403"/>
      <c r="DCV20" s="403"/>
      <c r="DCW20" s="403"/>
      <c r="DCX20" s="403"/>
      <c r="DCY20" s="403"/>
      <c r="DCZ20" s="403"/>
      <c r="DDA20" s="403"/>
      <c r="DDB20" s="403"/>
      <c r="DDC20" s="403"/>
      <c r="DDD20" s="403"/>
      <c r="DDE20" s="403"/>
      <c r="DDF20" s="403"/>
      <c r="DDG20" s="403"/>
      <c r="DDH20" s="403"/>
      <c r="DDI20" s="403" t="s">
        <v>99</v>
      </c>
      <c r="DDJ20" s="403"/>
      <c r="DDK20" s="403"/>
      <c r="DDL20" s="403"/>
      <c r="DDM20" s="403"/>
      <c r="DDN20" s="403"/>
      <c r="DDO20" s="403"/>
      <c r="DDP20" s="403"/>
      <c r="DDQ20" s="403"/>
      <c r="DDR20" s="403"/>
      <c r="DDS20" s="403"/>
      <c r="DDT20" s="403"/>
      <c r="DDU20" s="403"/>
      <c r="DDV20" s="403"/>
      <c r="DDW20" s="403"/>
      <c r="DDX20" s="403"/>
      <c r="DDY20" s="403"/>
      <c r="DDZ20" s="403"/>
      <c r="DEA20" s="403"/>
      <c r="DEB20" s="403"/>
      <c r="DEC20" s="403"/>
      <c r="DED20" s="403"/>
      <c r="DEE20" s="403"/>
      <c r="DEF20" s="403"/>
      <c r="DEG20" s="403"/>
      <c r="DEH20" s="403"/>
      <c r="DEI20" s="403"/>
      <c r="DEJ20" s="403"/>
      <c r="DEK20" s="403"/>
      <c r="DEL20" s="403"/>
      <c r="DEM20" s="403"/>
      <c r="DEN20" s="403"/>
      <c r="DEO20" s="403" t="s">
        <v>99</v>
      </c>
      <c r="DEP20" s="403"/>
      <c r="DEQ20" s="403"/>
      <c r="DER20" s="403"/>
      <c r="DES20" s="403"/>
      <c r="DET20" s="403"/>
      <c r="DEU20" s="403"/>
      <c r="DEV20" s="403"/>
      <c r="DEW20" s="403"/>
      <c r="DEX20" s="403"/>
      <c r="DEY20" s="403"/>
      <c r="DEZ20" s="403"/>
      <c r="DFA20" s="403"/>
      <c r="DFB20" s="403"/>
      <c r="DFC20" s="403"/>
      <c r="DFD20" s="403"/>
      <c r="DFE20" s="403"/>
      <c r="DFF20" s="403"/>
      <c r="DFG20" s="403"/>
      <c r="DFH20" s="403"/>
      <c r="DFI20" s="403"/>
      <c r="DFJ20" s="403"/>
      <c r="DFK20" s="403"/>
      <c r="DFL20" s="403"/>
      <c r="DFM20" s="403"/>
      <c r="DFN20" s="403"/>
      <c r="DFO20" s="403"/>
      <c r="DFP20" s="403"/>
      <c r="DFQ20" s="403"/>
      <c r="DFR20" s="403"/>
      <c r="DFS20" s="403"/>
      <c r="DFT20" s="403"/>
      <c r="DFU20" s="403" t="s">
        <v>99</v>
      </c>
      <c r="DFV20" s="403"/>
      <c r="DFW20" s="403"/>
      <c r="DFX20" s="403"/>
      <c r="DFY20" s="403"/>
      <c r="DFZ20" s="403"/>
      <c r="DGA20" s="403"/>
      <c r="DGB20" s="403"/>
      <c r="DGC20" s="403"/>
      <c r="DGD20" s="403"/>
      <c r="DGE20" s="403"/>
      <c r="DGF20" s="403"/>
      <c r="DGG20" s="403"/>
      <c r="DGH20" s="403"/>
      <c r="DGI20" s="403"/>
      <c r="DGJ20" s="403"/>
      <c r="DGK20" s="403"/>
      <c r="DGL20" s="403"/>
      <c r="DGM20" s="403"/>
      <c r="DGN20" s="403"/>
      <c r="DGO20" s="403"/>
      <c r="DGP20" s="403"/>
      <c r="DGQ20" s="403"/>
      <c r="DGR20" s="403"/>
      <c r="DGS20" s="403"/>
      <c r="DGT20" s="403"/>
      <c r="DGU20" s="403"/>
      <c r="DGV20" s="403"/>
      <c r="DGW20" s="403"/>
      <c r="DGX20" s="403"/>
      <c r="DGY20" s="403"/>
      <c r="DGZ20" s="403"/>
      <c r="DHA20" s="403" t="s">
        <v>99</v>
      </c>
      <c r="DHB20" s="403"/>
      <c r="DHC20" s="403"/>
      <c r="DHD20" s="403"/>
      <c r="DHE20" s="403"/>
      <c r="DHF20" s="403"/>
      <c r="DHG20" s="403"/>
      <c r="DHH20" s="403"/>
      <c r="DHI20" s="403"/>
      <c r="DHJ20" s="403"/>
      <c r="DHK20" s="403"/>
      <c r="DHL20" s="403"/>
      <c r="DHM20" s="403"/>
      <c r="DHN20" s="403"/>
      <c r="DHO20" s="403"/>
      <c r="DHP20" s="403"/>
      <c r="DHQ20" s="403"/>
      <c r="DHR20" s="403"/>
      <c r="DHS20" s="403"/>
      <c r="DHT20" s="403"/>
      <c r="DHU20" s="403"/>
      <c r="DHV20" s="403"/>
      <c r="DHW20" s="403"/>
      <c r="DHX20" s="403"/>
      <c r="DHY20" s="403"/>
      <c r="DHZ20" s="403"/>
      <c r="DIA20" s="403"/>
      <c r="DIB20" s="403"/>
      <c r="DIC20" s="403"/>
      <c r="DID20" s="403"/>
      <c r="DIE20" s="403"/>
      <c r="DIF20" s="403"/>
      <c r="DIG20" s="403" t="s">
        <v>99</v>
      </c>
      <c r="DIH20" s="403"/>
      <c r="DII20" s="403"/>
      <c r="DIJ20" s="403"/>
      <c r="DIK20" s="403"/>
      <c r="DIL20" s="403"/>
      <c r="DIM20" s="403"/>
      <c r="DIN20" s="403"/>
      <c r="DIO20" s="403"/>
      <c r="DIP20" s="403"/>
      <c r="DIQ20" s="403"/>
      <c r="DIR20" s="403"/>
      <c r="DIS20" s="403"/>
      <c r="DIT20" s="403"/>
      <c r="DIU20" s="403"/>
      <c r="DIV20" s="403"/>
      <c r="DIW20" s="403"/>
      <c r="DIX20" s="403"/>
      <c r="DIY20" s="403"/>
      <c r="DIZ20" s="403"/>
      <c r="DJA20" s="403"/>
      <c r="DJB20" s="403"/>
      <c r="DJC20" s="403"/>
      <c r="DJD20" s="403"/>
      <c r="DJE20" s="403"/>
      <c r="DJF20" s="403"/>
      <c r="DJG20" s="403"/>
      <c r="DJH20" s="403"/>
      <c r="DJI20" s="403"/>
      <c r="DJJ20" s="403"/>
      <c r="DJK20" s="403"/>
      <c r="DJL20" s="403"/>
      <c r="DJM20" s="403" t="s">
        <v>99</v>
      </c>
      <c r="DJN20" s="403"/>
      <c r="DJO20" s="403"/>
      <c r="DJP20" s="403"/>
      <c r="DJQ20" s="403"/>
      <c r="DJR20" s="403"/>
      <c r="DJS20" s="403"/>
      <c r="DJT20" s="403"/>
      <c r="DJU20" s="403"/>
      <c r="DJV20" s="403"/>
      <c r="DJW20" s="403"/>
      <c r="DJX20" s="403"/>
      <c r="DJY20" s="403"/>
      <c r="DJZ20" s="403"/>
      <c r="DKA20" s="403"/>
      <c r="DKB20" s="403"/>
      <c r="DKC20" s="403"/>
      <c r="DKD20" s="403"/>
      <c r="DKE20" s="403"/>
      <c r="DKF20" s="403"/>
      <c r="DKG20" s="403"/>
      <c r="DKH20" s="403"/>
      <c r="DKI20" s="403"/>
      <c r="DKJ20" s="403"/>
      <c r="DKK20" s="403"/>
      <c r="DKL20" s="403"/>
      <c r="DKM20" s="403"/>
      <c r="DKN20" s="403"/>
      <c r="DKO20" s="403"/>
      <c r="DKP20" s="403"/>
      <c r="DKQ20" s="403"/>
      <c r="DKR20" s="403"/>
      <c r="DKS20" s="403" t="s">
        <v>99</v>
      </c>
      <c r="DKT20" s="403"/>
      <c r="DKU20" s="403"/>
      <c r="DKV20" s="403"/>
      <c r="DKW20" s="403"/>
      <c r="DKX20" s="403"/>
      <c r="DKY20" s="403"/>
      <c r="DKZ20" s="403"/>
      <c r="DLA20" s="403"/>
      <c r="DLB20" s="403"/>
      <c r="DLC20" s="403"/>
      <c r="DLD20" s="403"/>
      <c r="DLE20" s="403"/>
      <c r="DLF20" s="403"/>
      <c r="DLG20" s="403"/>
      <c r="DLH20" s="403"/>
      <c r="DLI20" s="403"/>
      <c r="DLJ20" s="403"/>
      <c r="DLK20" s="403"/>
      <c r="DLL20" s="403"/>
      <c r="DLM20" s="403"/>
      <c r="DLN20" s="403"/>
      <c r="DLO20" s="403"/>
      <c r="DLP20" s="403"/>
      <c r="DLQ20" s="403"/>
      <c r="DLR20" s="403"/>
      <c r="DLS20" s="403"/>
      <c r="DLT20" s="403"/>
      <c r="DLU20" s="403"/>
      <c r="DLV20" s="403"/>
      <c r="DLW20" s="403"/>
      <c r="DLX20" s="403"/>
      <c r="DLY20" s="403" t="s">
        <v>99</v>
      </c>
      <c r="DLZ20" s="403"/>
      <c r="DMA20" s="403"/>
      <c r="DMB20" s="403"/>
      <c r="DMC20" s="403"/>
      <c r="DMD20" s="403"/>
      <c r="DME20" s="403"/>
      <c r="DMF20" s="403"/>
      <c r="DMG20" s="403"/>
      <c r="DMH20" s="403"/>
      <c r="DMI20" s="403"/>
      <c r="DMJ20" s="403"/>
      <c r="DMK20" s="403"/>
      <c r="DML20" s="403"/>
      <c r="DMM20" s="403"/>
      <c r="DMN20" s="403"/>
      <c r="DMO20" s="403"/>
      <c r="DMP20" s="403"/>
      <c r="DMQ20" s="403"/>
      <c r="DMR20" s="403"/>
      <c r="DMS20" s="403"/>
      <c r="DMT20" s="403"/>
      <c r="DMU20" s="403"/>
      <c r="DMV20" s="403"/>
      <c r="DMW20" s="403"/>
      <c r="DMX20" s="403"/>
      <c r="DMY20" s="403"/>
      <c r="DMZ20" s="403"/>
      <c r="DNA20" s="403"/>
      <c r="DNB20" s="403"/>
      <c r="DNC20" s="403"/>
      <c r="DND20" s="403"/>
      <c r="DNE20" s="403" t="s">
        <v>99</v>
      </c>
      <c r="DNF20" s="403"/>
      <c r="DNG20" s="403"/>
      <c r="DNH20" s="403"/>
      <c r="DNI20" s="403"/>
      <c r="DNJ20" s="403"/>
      <c r="DNK20" s="403"/>
      <c r="DNL20" s="403"/>
      <c r="DNM20" s="403"/>
      <c r="DNN20" s="403"/>
      <c r="DNO20" s="403"/>
      <c r="DNP20" s="403"/>
      <c r="DNQ20" s="403"/>
      <c r="DNR20" s="403"/>
      <c r="DNS20" s="403"/>
      <c r="DNT20" s="403"/>
      <c r="DNU20" s="403"/>
      <c r="DNV20" s="403"/>
      <c r="DNW20" s="403"/>
      <c r="DNX20" s="403"/>
      <c r="DNY20" s="403"/>
      <c r="DNZ20" s="403"/>
      <c r="DOA20" s="403"/>
      <c r="DOB20" s="403"/>
      <c r="DOC20" s="403"/>
      <c r="DOD20" s="403"/>
      <c r="DOE20" s="403"/>
      <c r="DOF20" s="403"/>
      <c r="DOG20" s="403"/>
      <c r="DOH20" s="403"/>
      <c r="DOI20" s="403"/>
      <c r="DOJ20" s="403"/>
      <c r="DOK20" s="403" t="s">
        <v>99</v>
      </c>
      <c r="DOL20" s="403"/>
      <c r="DOM20" s="403"/>
      <c r="DON20" s="403"/>
      <c r="DOO20" s="403"/>
      <c r="DOP20" s="403"/>
      <c r="DOQ20" s="403"/>
      <c r="DOR20" s="403"/>
      <c r="DOS20" s="403"/>
      <c r="DOT20" s="403"/>
      <c r="DOU20" s="403"/>
      <c r="DOV20" s="403"/>
      <c r="DOW20" s="403"/>
      <c r="DOX20" s="403"/>
      <c r="DOY20" s="403"/>
      <c r="DOZ20" s="403"/>
      <c r="DPA20" s="403"/>
      <c r="DPB20" s="403"/>
      <c r="DPC20" s="403"/>
      <c r="DPD20" s="403"/>
      <c r="DPE20" s="403"/>
      <c r="DPF20" s="403"/>
      <c r="DPG20" s="403"/>
      <c r="DPH20" s="403"/>
      <c r="DPI20" s="403"/>
      <c r="DPJ20" s="403"/>
      <c r="DPK20" s="403"/>
      <c r="DPL20" s="403"/>
      <c r="DPM20" s="403"/>
      <c r="DPN20" s="403"/>
      <c r="DPO20" s="403"/>
      <c r="DPP20" s="403"/>
      <c r="DPQ20" s="403" t="s">
        <v>99</v>
      </c>
      <c r="DPR20" s="403"/>
      <c r="DPS20" s="403"/>
      <c r="DPT20" s="403"/>
      <c r="DPU20" s="403"/>
      <c r="DPV20" s="403"/>
      <c r="DPW20" s="403"/>
      <c r="DPX20" s="403"/>
      <c r="DPY20" s="403"/>
      <c r="DPZ20" s="403"/>
      <c r="DQA20" s="403"/>
      <c r="DQB20" s="403"/>
      <c r="DQC20" s="403"/>
      <c r="DQD20" s="403"/>
      <c r="DQE20" s="403"/>
      <c r="DQF20" s="403"/>
      <c r="DQG20" s="403"/>
      <c r="DQH20" s="403"/>
      <c r="DQI20" s="403"/>
      <c r="DQJ20" s="403"/>
      <c r="DQK20" s="403"/>
      <c r="DQL20" s="403"/>
      <c r="DQM20" s="403"/>
      <c r="DQN20" s="403"/>
      <c r="DQO20" s="403"/>
      <c r="DQP20" s="403"/>
      <c r="DQQ20" s="403"/>
      <c r="DQR20" s="403"/>
      <c r="DQS20" s="403"/>
      <c r="DQT20" s="403"/>
      <c r="DQU20" s="403"/>
      <c r="DQV20" s="403"/>
      <c r="DQW20" s="403" t="s">
        <v>99</v>
      </c>
      <c r="DQX20" s="403"/>
      <c r="DQY20" s="403"/>
      <c r="DQZ20" s="403"/>
      <c r="DRA20" s="403"/>
      <c r="DRB20" s="403"/>
      <c r="DRC20" s="403"/>
      <c r="DRD20" s="403"/>
      <c r="DRE20" s="403"/>
      <c r="DRF20" s="403"/>
      <c r="DRG20" s="403"/>
      <c r="DRH20" s="403"/>
      <c r="DRI20" s="403"/>
      <c r="DRJ20" s="403"/>
      <c r="DRK20" s="403"/>
      <c r="DRL20" s="403"/>
      <c r="DRM20" s="403"/>
      <c r="DRN20" s="403"/>
      <c r="DRO20" s="403"/>
      <c r="DRP20" s="403"/>
      <c r="DRQ20" s="403"/>
      <c r="DRR20" s="403"/>
      <c r="DRS20" s="403"/>
      <c r="DRT20" s="403"/>
      <c r="DRU20" s="403"/>
      <c r="DRV20" s="403"/>
      <c r="DRW20" s="403"/>
      <c r="DRX20" s="403"/>
      <c r="DRY20" s="403"/>
      <c r="DRZ20" s="403"/>
      <c r="DSA20" s="403"/>
      <c r="DSB20" s="403"/>
      <c r="DSC20" s="403" t="s">
        <v>99</v>
      </c>
      <c r="DSD20" s="403"/>
      <c r="DSE20" s="403"/>
      <c r="DSF20" s="403"/>
      <c r="DSG20" s="403"/>
      <c r="DSH20" s="403"/>
      <c r="DSI20" s="403"/>
      <c r="DSJ20" s="403"/>
      <c r="DSK20" s="403"/>
      <c r="DSL20" s="403"/>
      <c r="DSM20" s="403"/>
      <c r="DSN20" s="403"/>
      <c r="DSO20" s="403"/>
      <c r="DSP20" s="403"/>
      <c r="DSQ20" s="403"/>
      <c r="DSR20" s="403"/>
      <c r="DSS20" s="403"/>
      <c r="DST20" s="403"/>
      <c r="DSU20" s="403"/>
      <c r="DSV20" s="403"/>
      <c r="DSW20" s="403"/>
      <c r="DSX20" s="403"/>
      <c r="DSY20" s="403"/>
      <c r="DSZ20" s="403"/>
      <c r="DTA20" s="403"/>
      <c r="DTB20" s="403"/>
      <c r="DTC20" s="403"/>
      <c r="DTD20" s="403"/>
      <c r="DTE20" s="403"/>
      <c r="DTF20" s="403"/>
      <c r="DTG20" s="403"/>
      <c r="DTH20" s="403"/>
      <c r="DTI20" s="403" t="s">
        <v>99</v>
      </c>
      <c r="DTJ20" s="403"/>
      <c r="DTK20" s="403"/>
      <c r="DTL20" s="403"/>
      <c r="DTM20" s="403"/>
      <c r="DTN20" s="403"/>
      <c r="DTO20" s="403"/>
      <c r="DTP20" s="403"/>
      <c r="DTQ20" s="403"/>
      <c r="DTR20" s="403"/>
      <c r="DTS20" s="403"/>
      <c r="DTT20" s="403"/>
      <c r="DTU20" s="403"/>
      <c r="DTV20" s="403"/>
      <c r="DTW20" s="403"/>
      <c r="DTX20" s="403"/>
      <c r="DTY20" s="403"/>
      <c r="DTZ20" s="403"/>
      <c r="DUA20" s="403"/>
      <c r="DUB20" s="403"/>
      <c r="DUC20" s="403"/>
      <c r="DUD20" s="403"/>
      <c r="DUE20" s="403"/>
      <c r="DUF20" s="403"/>
      <c r="DUG20" s="403"/>
      <c r="DUH20" s="403"/>
      <c r="DUI20" s="403"/>
      <c r="DUJ20" s="403"/>
      <c r="DUK20" s="403"/>
      <c r="DUL20" s="403"/>
      <c r="DUM20" s="403"/>
      <c r="DUN20" s="403"/>
      <c r="DUO20" s="403" t="s">
        <v>99</v>
      </c>
      <c r="DUP20" s="403"/>
      <c r="DUQ20" s="403"/>
      <c r="DUR20" s="403"/>
      <c r="DUS20" s="403"/>
      <c r="DUT20" s="403"/>
      <c r="DUU20" s="403"/>
      <c r="DUV20" s="403"/>
      <c r="DUW20" s="403"/>
      <c r="DUX20" s="403"/>
      <c r="DUY20" s="403"/>
      <c r="DUZ20" s="403"/>
      <c r="DVA20" s="403"/>
      <c r="DVB20" s="403"/>
      <c r="DVC20" s="403"/>
      <c r="DVD20" s="403"/>
      <c r="DVE20" s="403"/>
      <c r="DVF20" s="403"/>
      <c r="DVG20" s="403"/>
      <c r="DVH20" s="403"/>
      <c r="DVI20" s="403"/>
      <c r="DVJ20" s="403"/>
      <c r="DVK20" s="403"/>
      <c r="DVL20" s="403"/>
      <c r="DVM20" s="403"/>
      <c r="DVN20" s="403"/>
      <c r="DVO20" s="403"/>
      <c r="DVP20" s="403"/>
      <c r="DVQ20" s="403"/>
      <c r="DVR20" s="403"/>
      <c r="DVS20" s="403"/>
      <c r="DVT20" s="403"/>
      <c r="DVU20" s="403" t="s">
        <v>99</v>
      </c>
      <c r="DVV20" s="403"/>
      <c r="DVW20" s="403"/>
      <c r="DVX20" s="403"/>
      <c r="DVY20" s="403"/>
      <c r="DVZ20" s="403"/>
      <c r="DWA20" s="403"/>
      <c r="DWB20" s="403"/>
      <c r="DWC20" s="403"/>
      <c r="DWD20" s="403"/>
      <c r="DWE20" s="403"/>
      <c r="DWF20" s="403"/>
      <c r="DWG20" s="403"/>
      <c r="DWH20" s="403"/>
      <c r="DWI20" s="403"/>
      <c r="DWJ20" s="403"/>
      <c r="DWK20" s="403"/>
      <c r="DWL20" s="403"/>
      <c r="DWM20" s="403"/>
      <c r="DWN20" s="403"/>
      <c r="DWO20" s="403"/>
      <c r="DWP20" s="403"/>
      <c r="DWQ20" s="403"/>
      <c r="DWR20" s="403"/>
      <c r="DWS20" s="403"/>
      <c r="DWT20" s="403"/>
      <c r="DWU20" s="403"/>
      <c r="DWV20" s="403"/>
      <c r="DWW20" s="403"/>
      <c r="DWX20" s="403"/>
      <c r="DWY20" s="403"/>
      <c r="DWZ20" s="403"/>
      <c r="DXA20" s="403" t="s">
        <v>99</v>
      </c>
      <c r="DXB20" s="403"/>
      <c r="DXC20" s="403"/>
      <c r="DXD20" s="403"/>
      <c r="DXE20" s="403"/>
      <c r="DXF20" s="403"/>
      <c r="DXG20" s="403"/>
      <c r="DXH20" s="403"/>
      <c r="DXI20" s="403"/>
      <c r="DXJ20" s="403"/>
      <c r="DXK20" s="403"/>
      <c r="DXL20" s="403"/>
      <c r="DXM20" s="403"/>
      <c r="DXN20" s="403"/>
      <c r="DXO20" s="403"/>
      <c r="DXP20" s="403"/>
      <c r="DXQ20" s="403"/>
      <c r="DXR20" s="403"/>
      <c r="DXS20" s="403"/>
      <c r="DXT20" s="403"/>
      <c r="DXU20" s="403"/>
      <c r="DXV20" s="403"/>
      <c r="DXW20" s="403"/>
      <c r="DXX20" s="403"/>
      <c r="DXY20" s="403"/>
      <c r="DXZ20" s="403"/>
      <c r="DYA20" s="403"/>
      <c r="DYB20" s="403"/>
      <c r="DYC20" s="403"/>
      <c r="DYD20" s="403"/>
      <c r="DYE20" s="403"/>
      <c r="DYF20" s="403"/>
      <c r="DYG20" s="403" t="s">
        <v>99</v>
      </c>
      <c r="DYH20" s="403"/>
      <c r="DYI20" s="403"/>
      <c r="DYJ20" s="403"/>
      <c r="DYK20" s="403"/>
      <c r="DYL20" s="403"/>
      <c r="DYM20" s="403"/>
      <c r="DYN20" s="403"/>
      <c r="DYO20" s="403"/>
      <c r="DYP20" s="403"/>
      <c r="DYQ20" s="403"/>
      <c r="DYR20" s="403"/>
      <c r="DYS20" s="403"/>
      <c r="DYT20" s="403"/>
      <c r="DYU20" s="403"/>
      <c r="DYV20" s="403"/>
      <c r="DYW20" s="403"/>
      <c r="DYX20" s="403"/>
      <c r="DYY20" s="403"/>
      <c r="DYZ20" s="403"/>
      <c r="DZA20" s="403"/>
      <c r="DZB20" s="403"/>
      <c r="DZC20" s="403"/>
      <c r="DZD20" s="403"/>
      <c r="DZE20" s="403"/>
      <c r="DZF20" s="403"/>
      <c r="DZG20" s="403"/>
      <c r="DZH20" s="403"/>
      <c r="DZI20" s="403"/>
      <c r="DZJ20" s="403"/>
      <c r="DZK20" s="403"/>
      <c r="DZL20" s="403"/>
      <c r="DZM20" s="403" t="s">
        <v>99</v>
      </c>
      <c r="DZN20" s="403"/>
      <c r="DZO20" s="403"/>
      <c r="DZP20" s="403"/>
      <c r="DZQ20" s="403"/>
      <c r="DZR20" s="403"/>
      <c r="DZS20" s="403"/>
      <c r="DZT20" s="403"/>
      <c r="DZU20" s="403"/>
      <c r="DZV20" s="403"/>
      <c r="DZW20" s="403"/>
      <c r="DZX20" s="403"/>
      <c r="DZY20" s="403"/>
      <c r="DZZ20" s="403"/>
      <c r="EAA20" s="403"/>
      <c r="EAB20" s="403"/>
      <c r="EAC20" s="403"/>
      <c r="EAD20" s="403"/>
      <c r="EAE20" s="403"/>
      <c r="EAF20" s="403"/>
      <c r="EAG20" s="403"/>
      <c r="EAH20" s="403"/>
      <c r="EAI20" s="403"/>
      <c r="EAJ20" s="403"/>
      <c r="EAK20" s="403"/>
      <c r="EAL20" s="403"/>
      <c r="EAM20" s="403"/>
      <c r="EAN20" s="403"/>
      <c r="EAO20" s="403"/>
      <c r="EAP20" s="403"/>
      <c r="EAQ20" s="403"/>
      <c r="EAR20" s="403"/>
      <c r="EAS20" s="403" t="s">
        <v>99</v>
      </c>
      <c r="EAT20" s="403"/>
      <c r="EAU20" s="403"/>
      <c r="EAV20" s="403"/>
      <c r="EAW20" s="403"/>
      <c r="EAX20" s="403"/>
      <c r="EAY20" s="403"/>
      <c r="EAZ20" s="403"/>
      <c r="EBA20" s="403"/>
      <c r="EBB20" s="403"/>
      <c r="EBC20" s="403"/>
      <c r="EBD20" s="403"/>
      <c r="EBE20" s="403"/>
      <c r="EBF20" s="403"/>
      <c r="EBG20" s="403"/>
      <c r="EBH20" s="403"/>
      <c r="EBI20" s="403"/>
      <c r="EBJ20" s="403"/>
      <c r="EBK20" s="403"/>
      <c r="EBL20" s="403"/>
      <c r="EBM20" s="403"/>
      <c r="EBN20" s="403"/>
      <c r="EBO20" s="403"/>
      <c r="EBP20" s="403"/>
      <c r="EBQ20" s="403"/>
      <c r="EBR20" s="403"/>
      <c r="EBS20" s="403"/>
      <c r="EBT20" s="403"/>
      <c r="EBU20" s="403"/>
      <c r="EBV20" s="403"/>
      <c r="EBW20" s="403"/>
      <c r="EBX20" s="403"/>
      <c r="EBY20" s="403" t="s">
        <v>99</v>
      </c>
      <c r="EBZ20" s="403"/>
      <c r="ECA20" s="403"/>
      <c r="ECB20" s="403"/>
      <c r="ECC20" s="403"/>
      <c r="ECD20" s="403"/>
      <c r="ECE20" s="403"/>
      <c r="ECF20" s="403"/>
      <c r="ECG20" s="403"/>
      <c r="ECH20" s="403"/>
      <c r="ECI20" s="403"/>
      <c r="ECJ20" s="403"/>
      <c r="ECK20" s="403"/>
      <c r="ECL20" s="403"/>
      <c r="ECM20" s="403"/>
      <c r="ECN20" s="403"/>
      <c r="ECO20" s="403"/>
      <c r="ECP20" s="403"/>
      <c r="ECQ20" s="403"/>
      <c r="ECR20" s="403"/>
      <c r="ECS20" s="403"/>
      <c r="ECT20" s="403"/>
      <c r="ECU20" s="403"/>
      <c r="ECV20" s="403"/>
      <c r="ECW20" s="403"/>
      <c r="ECX20" s="403"/>
      <c r="ECY20" s="403"/>
      <c r="ECZ20" s="403"/>
      <c r="EDA20" s="403"/>
      <c r="EDB20" s="403"/>
      <c r="EDC20" s="403"/>
      <c r="EDD20" s="403"/>
      <c r="EDE20" s="403" t="s">
        <v>99</v>
      </c>
      <c r="EDF20" s="403"/>
      <c r="EDG20" s="403"/>
      <c r="EDH20" s="403"/>
      <c r="EDI20" s="403"/>
      <c r="EDJ20" s="403"/>
      <c r="EDK20" s="403"/>
      <c r="EDL20" s="403"/>
      <c r="EDM20" s="403"/>
      <c r="EDN20" s="403"/>
      <c r="EDO20" s="403"/>
      <c r="EDP20" s="403"/>
      <c r="EDQ20" s="403"/>
      <c r="EDR20" s="403"/>
      <c r="EDS20" s="403"/>
      <c r="EDT20" s="403"/>
      <c r="EDU20" s="403"/>
      <c r="EDV20" s="403"/>
      <c r="EDW20" s="403"/>
      <c r="EDX20" s="403"/>
      <c r="EDY20" s="403"/>
      <c r="EDZ20" s="403"/>
      <c r="EEA20" s="403"/>
      <c r="EEB20" s="403"/>
      <c r="EEC20" s="403"/>
      <c r="EED20" s="403"/>
      <c r="EEE20" s="403"/>
      <c r="EEF20" s="403"/>
      <c r="EEG20" s="403"/>
      <c r="EEH20" s="403"/>
      <c r="EEI20" s="403"/>
      <c r="EEJ20" s="403"/>
      <c r="EEK20" s="403" t="s">
        <v>99</v>
      </c>
      <c r="EEL20" s="403"/>
      <c r="EEM20" s="403"/>
      <c r="EEN20" s="403"/>
      <c r="EEO20" s="403"/>
      <c r="EEP20" s="403"/>
      <c r="EEQ20" s="403"/>
      <c r="EER20" s="403"/>
      <c r="EES20" s="403"/>
      <c r="EET20" s="403"/>
      <c r="EEU20" s="403"/>
      <c r="EEV20" s="403"/>
      <c r="EEW20" s="403"/>
      <c r="EEX20" s="403"/>
      <c r="EEY20" s="403"/>
      <c r="EEZ20" s="403"/>
      <c r="EFA20" s="403"/>
      <c r="EFB20" s="403"/>
      <c r="EFC20" s="403"/>
      <c r="EFD20" s="403"/>
      <c r="EFE20" s="403"/>
      <c r="EFF20" s="403"/>
      <c r="EFG20" s="403"/>
      <c r="EFH20" s="403"/>
      <c r="EFI20" s="403"/>
      <c r="EFJ20" s="403"/>
      <c r="EFK20" s="403"/>
      <c r="EFL20" s="403"/>
      <c r="EFM20" s="403"/>
      <c r="EFN20" s="403"/>
      <c r="EFO20" s="403"/>
      <c r="EFP20" s="403"/>
      <c r="EFQ20" s="403" t="s">
        <v>99</v>
      </c>
      <c r="EFR20" s="403"/>
      <c r="EFS20" s="403"/>
      <c r="EFT20" s="403"/>
      <c r="EFU20" s="403"/>
      <c r="EFV20" s="403"/>
      <c r="EFW20" s="403"/>
      <c r="EFX20" s="403"/>
      <c r="EFY20" s="403"/>
      <c r="EFZ20" s="403"/>
      <c r="EGA20" s="403"/>
      <c r="EGB20" s="403"/>
      <c r="EGC20" s="403"/>
      <c r="EGD20" s="403"/>
      <c r="EGE20" s="403"/>
      <c r="EGF20" s="403"/>
      <c r="EGG20" s="403"/>
      <c r="EGH20" s="403"/>
      <c r="EGI20" s="403"/>
      <c r="EGJ20" s="403"/>
      <c r="EGK20" s="403"/>
      <c r="EGL20" s="403"/>
      <c r="EGM20" s="403"/>
      <c r="EGN20" s="403"/>
      <c r="EGO20" s="403"/>
      <c r="EGP20" s="403"/>
      <c r="EGQ20" s="403"/>
      <c r="EGR20" s="403"/>
      <c r="EGS20" s="403"/>
      <c r="EGT20" s="403"/>
      <c r="EGU20" s="403"/>
      <c r="EGV20" s="403"/>
      <c r="EGW20" s="403" t="s">
        <v>99</v>
      </c>
      <c r="EGX20" s="403"/>
      <c r="EGY20" s="403"/>
      <c r="EGZ20" s="403"/>
      <c r="EHA20" s="403"/>
      <c r="EHB20" s="403"/>
      <c r="EHC20" s="403"/>
      <c r="EHD20" s="403"/>
      <c r="EHE20" s="403"/>
      <c r="EHF20" s="403"/>
      <c r="EHG20" s="403"/>
      <c r="EHH20" s="403"/>
      <c r="EHI20" s="403"/>
      <c r="EHJ20" s="403"/>
      <c r="EHK20" s="403"/>
      <c r="EHL20" s="403"/>
      <c r="EHM20" s="403"/>
      <c r="EHN20" s="403"/>
      <c r="EHO20" s="403"/>
      <c r="EHP20" s="403"/>
      <c r="EHQ20" s="403"/>
      <c r="EHR20" s="403"/>
      <c r="EHS20" s="403"/>
      <c r="EHT20" s="403"/>
      <c r="EHU20" s="403"/>
      <c r="EHV20" s="403"/>
      <c r="EHW20" s="403"/>
      <c r="EHX20" s="403"/>
      <c r="EHY20" s="403"/>
      <c r="EHZ20" s="403"/>
      <c r="EIA20" s="403"/>
      <c r="EIB20" s="403"/>
      <c r="EIC20" s="403" t="s">
        <v>99</v>
      </c>
      <c r="EID20" s="403"/>
      <c r="EIE20" s="403"/>
      <c r="EIF20" s="403"/>
      <c r="EIG20" s="403"/>
      <c r="EIH20" s="403"/>
      <c r="EII20" s="403"/>
      <c r="EIJ20" s="403"/>
      <c r="EIK20" s="403"/>
      <c r="EIL20" s="403"/>
      <c r="EIM20" s="403"/>
      <c r="EIN20" s="403"/>
      <c r="EIO20" s="403"/>
      <c r="EIP20" s="403"/>
      <c r="EIQ20" s="403"/>
      <c r="EIR20" s="403"/>
      <c r="EIS20" s="403"/>
      <c r="EIT20" s="403"/>
      <c r="EIU20" s="403"/>
      <c r="EIV20" s="403"/>
      <c r="EIW20" s="403"/>
      <c r="EIX20" s="403"/>
      <c r="EIY20" s="403"/>
      <c r="EIZ20" s="403"/>
      <c r="EJA20" s="403"/>
      <c r="EJB20" s="403"/>
      <c r="EJC20" s="403"/>
      <c r="EJD20" s="403"/>
      <c r="EJE20" s="403"/>
      <c r="EJF20" s="403"/>
      <c r="EJG20" s="403"/>
      <c r="EJH20" s="403"/>
      <c r="EJI20" s="403" t="s">
        <v>99</v>
      </c>
      <c r="EJJ20" s="403"/>
      <c r="EJK20" s="403"/>
      <c r="EJL20" s="403"/>
      <c r="EJM20" s="403"/>
      <c r="EJN20" s="403"/>
      <c r="EJO20" s="403"/>
      <c r="EJP20" s="403"/>
      <c r="EJQ20" s="403"/>
      <c r="EJR20" s="403"/>
      <c r="EJS20" s="403"/>
      <c r="EJT20" s="403"/>
      <c r="EJU20" s="403"/>
      <c r="EJV20" s="403"/>
      <c r="EJW20" s="403"/>
      <c r="EJX20" s="403"/>
      <c r="EJY20" s="403"/>
      <c r="EJZ20" s="403"/>
      <c r="EKA20" s="403"/>
      <c r="EKB20" s="403"/>
      <c r="EKC20" s="403"/>
      <c r="EKD20" s="403"/>
      <c r="EKE20" s="403"/>
      <c r="EKF20" s="403"/>
      <c r="EKG20" s="403"/>
      <c r="EKH20" s="403"/>
      <c r="EKI20" s="403"/>
      <c r="EKJ20" s="403"/>
      <c r="EKK20" s="403"/>
      <c r="EKL20" s="403"/>
      <c r="EKM20" s="403"/>
      <c r="EKN20" s="403"/>
      <c r="EKO20" s="403" t="s">
        <v>99</v>
      </c>
      <c r="EKP20" s="403"/>
      <c r="EKQ20" s="403"/>
      <c r="EKR20" s="403"/>
      <c r="EKS20" s="403"/>
      <c r="EKT20" s="403"/>
      <c r="EKU20" s="403"/>
      <c r="EKV20" s="403"/>
      <c r="EKW20" s="403"/>
      <c r="EKX20" s="403"/>
      <c r="EKY20" s="403"/>
      <c r="EKZ20" s="403"/>
      <c r="ELA20" s="403"/>
      <c r="ELB20" s="403"/>
      <c r="ELC20" s="403"/>
      <c r="ELD20" s="403"/>
      <c r="ELE20" s="403"/>
      <c r="ELF20" s="403"/>
      <c r="ELG20" s="403"/>
      <c r="ELH20" s="403"/>
      <c r="ELI20" s="403"/>
      <c r="ELJ20" s="403"/>
      <c r="ELK20" s="403"/>
      <c r="ELL20" s="403"/>
      <c r="ELM20" s="403"/>
      <c r="ELN20" s="403"/>
      <c r="ELO20" s="403"/>
      <c r="ELP20" s="403"/>
      <c r="ELQ20" s="403"/>
      <c r="ELR20" s="403"/>
      <c r="ELS20" s="403"/>
      <c r="ELT20" s="403"/>
      <c r="ELU20" s="403" t="s">
        <v>99</v>
      </c>
      <c r="ELV20" s="403"/>
      <c r="ELW20" s="403"/>
      <c r="ELX20" s="403"/>
      <c r="ELY20" s="403"/>
      <c r="ELZ20" s="403"/>
      <c r="EMA20" s="403"/>
      <c r="EMB20" s="403"/>
      <c r="EMC20" s="403"/>
      <c r="EMD20" s="403"/>
      <c r="EME20" s="403"/>
      <c r="EMF20" s="403"/>
      <c r="EMG20" s="403"/>
      <c r="EMH20" s="403"/>
      <c r="EMI20" s="403"/>
      <c r="EMJ20" s="403"/>
      <c r="EMK20" s="403"/>
      <c r="EML20" s="403"/>
      <c r="EMM20" s="403"/>
      <c r="EMN20" s="403"/>
      <c r="EMO20" s="403"/>
      <c r="EMP20" s="403"/>
      <c r="EMQ20" s="403"/>
      <c r="EMR20" s="403"/>
      <c r="EMS20" s="403"/>
      <c r="EMT20" s="403"/>
      <c r="EMU20" s="403"/>
      <c r="EMV20" s="403"/>
      <c r="EMW20" s="403"/>
      <c r="EMX20" s="403"/>
      <c r="EMY20" s="403"/>
      <c r="EMZ20" s="403"/>
      <c r="ENA20" s="403" t="s">
        <v>99</v>
      </c>
      <c r="ENB20" s="403"/>
      <c r="ENC20" s="403"/>
      <c r="END20" s="403"/>
      <c r="ENE20" s="403"/>
      <c r="ENF20" s="403"/>
      <c r="ENG20" s="403"/>
      <c r="ENH20" s="403"/>
      <c r="ENI20" s="403"/>
      <c r="ENJ20" s="403"/>
      <c r="ENK20" s="403"/>
      <c r="ENL20" s="403"/>
      <c r="ENM20" s="403"/>
      <c r="ENN20" s="403"/>
      <c r="ENO20" s="403"/>
      <c r="ENP20" s="403"/>
      <c r="ENQ20" s="403"/>
      <c r="ENR20" s="403"/>
      <c r="ENS20" s="403"/>
      <c r="ENT20" s="403"/>
      <c r="ENU20" s="403"/>
      <c r="ENV20" s="403"/>
      <c r="ENW20" s="403"/>
      <c r="ENX20" s="403"/>
      <c r="ENY20" s="403"/>
      <c r="ENZ20" s="403"/>
      <c r="EOA20" s="403"/>
      <c r="EOB20" s="403"/>
      <c r="EOC20" s="403"/>
      <c r="EOD20" s="403"/>
      <c r="EOE20" s="403"/>
      <c r="EOF20" s="403"/>
      <c r="EOG20" s="403" t="s">
        <v>99</v>
      </c>
      <c r="EOH20" s="403"/>
      <c r="EOI20" s="403"/>
      <c r="EOJ20" s="403"/>
      <c r="EOK20" s="403"/>
      <c r="EOL20" s="403"/>
      <c r="EOM20" s="403"/>
      <c r="EON20" s="403"/>
      <c r="EOO20" s="403"/>
      <c r="EOP20" s="403"/>
      <c r="EOQ20" s="403"/>
      <c r="EOR20" s="403"/>
      <c r="EOS20" s="403"/>
      <c r="EOT20" s="403"/>
      <c r="EOU20" s="403"/>
      <c r="EOV20" s="403"/>
      <c r="EOW20" s="403"/>
      <c r="EOX20" s="403"/>
      <c r="EOY20" s="403"/>
      <c r="EOZ20" s="403"/>
      <c r="EPA20" s="403"/>
      <c r="EPB20" s="403"/>
      <c r="EPC20" s="403"/>
      <c r="EPD20" s="403"/>
      <c r="EPE20" s="403"/>
      <c r="EPF20" s="403"/>
      <c r="EPG20" s="403"/>
      <c r="EPH20" s="403"/>
      <c r="EPI20" s="403"/>
      <c r="EPJ20" s="403"/>
      <c r="EPK20" s="403"/>
      <c r="EPL20" s="403"/>
      <c r="EPM20" s="403" t="s">
        <v>99</v>
      </c>
      <c r="EPN20" s="403"/>
      <c r="EPO20" s="403"/>
      <c r="EPP20" s="403"/>
      <c r="EPQ20" s="403"/>
      <c r="EPR20" s="403"/>
      <c r="EPS20" s="403"/>
      <c r="EPT20" s="403"/>
      <c r="EPU20" s="403"/>
      <c r="EPV20" s="403"/>
      <c r="EPW20" s="403"/>
      <c r="EPX20" s="403"/>
      <c r="EPY20" s="403"/>
      <c r="EPZ20" s="403"/>
      <c r="EQA20" s="403"/>
      <c r="EQB20" s="403"/>
      <c r="EQC20" s="403"/>
      <c r="EQD20" s="403"/>
      <c r="EQE20" s="403"/>
      <c r="EQF20" s="403"/>
      <c r="EQG20" s="403"/>
      <c r="EQH20" s="403"/>
      <c r="EQI20" s="403"/>
      <c r="EQJ20" s="403"/>
      <c r="EQK20" s="403"/>
      <c r="EQL20" s="403"/>
      <c r="EQM20" s="403"/>
      <c r="EQN20" s="403"/>
      <c r="EQO20" s="403"/>
      <c r="EQP20" s="403"/>
      <c r="EQQ20" s="403"/>
      <c r="EQR20" s="403"/>
      <c r="EQS20" s="403" t="s">
        <v>99</v>
      </c>
      <c r="EQT20" s="403"/>
      <c r="EQU20" s="403"/>
      <c r="EQV20" s="403"/>
      <c r="EQW20" s="403"/>
      <c r="EQX20" s="403"/>
      <c r="EQY20" s="403"/>
      <c r="EQZ20" s="403"/>
      <c r="ERA20" s="403"/>
      <c r="ERB20" s="403"/>
      <c r="ERC20" s="403"/>
      <c r="ERD20" s="403"/>
      <c r="ERE20" s="403"/>
      <c r="ERF20" s="403"/>
      <c r="ERG20" s="403"/>
      <c r="ERH20" s="403"/>
      <c r="ERI20" s="403"/>
      <c r="ERJ20" s="403"/>
      <c r="ERK20" s="403"/>
      <c r="ERL20" s="403"/>
      <c r="ERM20" s="403"/>
      <c r="ERN20" s="403"/>
      <c r="ERO20" s="403"/>
      <c r="ERP20" s="403"/>
      <c r="ERQ20" s="403"/>
      <c r="ERR20" s="403"/>
      <c r="ERS20" s="403"/>
      <c r="ERT20" s="403"/>
      <c r="ERU20" s="403"/>
      <c r="ERV20" s="403"/>
      <c r="ERW20" s="403"/>
      <c r="ERX20" s="403"/>
      <c r="ERY20" s="403" t="s">
        <v>99</v>
      </c>
      <c r="ERZ20" s="403"/>
      <c r="ESA20" s="403"/>
      <c r="ESB20" s="403"/>
      <c r="ESC20" s="403"/>
      <c r="ESD20" s="403"/>
      <c r="ESE20" s="403"/>
      <c r="ESF20" s="403"/>
      <c r="ESG20" s="403"/>
      <c r="ESH20" s="403"/>
      <c r="ESI20" s="403"/>
      <c r="ESJ20" s="403"/>
      <c r="ESK20" s="403"/>
      <c r="ESL20" s="403"/>
      <c r="ESM20" s="403"/>
      <c r="ESN20" s="403"/>
      <c r="ESO20" s="403"/>
      <c r="ESP20" s="403"/>
      <c r="ESQ20" s="403"/>
      <c r="ESR20" s="403"/>
      <c r="ESS20" s="403"/>
      <c r="EST20" s="403"/>
      <c r="ESU20" s="403"/>
      <c r="ESV20" s="403"/>
      <c r="ESW20" s="403"/>
      <c r="ESX20" s="403"/>
      <c r="ESY20" s="403"/>
      <c r="ESZ20" s="403"/>
      <c r="ETA20" s="403"/>
      <c r="ETB20" s="403"/>
      <c r="ETC20" s="403"/>
      <c r="ETD20" s="403"/>
      <c r="ETE20" s="403" t="s">
        <v>99</v>
      </c>
      <c r="ETF20" s="403"/>
      <c r="ETG20" s="403"/>
      <c r="ETH20" s="403"/>
      <c r="ETI20" s="403"/>
      <c r="ETJ20" s="403"/>
      <c r="ETK20" s="403"/>
      <c r="ETL20" s="403"/>
      <c r="ETM20" s="403"/>
      <c r="ETN20" s="403"/>
      <c r="ETO20" s="403"/>
      <c r="ETP20" s="403"/>
      <c r="ETQ20" s="403"/>
      <c r="ETR20" s="403"/>
      <c r="ETS20" s="403"/>
      <c r="ETT20" s="403"/>
      <c r="ETU20" s="403"/>
      <c r="ETV20" s="403"/>
      <c r="ETW20" s="403"/>
      <c r="ETX20" s="403"/>
      <c r="ETY20" s="403"/>
      <c r="ETZ20" s="403"/>
      <c r="EUA20" s="403"/>
      <c r="EUB20" s="403"/>
      <c r="EUC20" s="403"/>
      <c r="EUD20" s="403"/>
      <c r="EUE20" s="403"/>
      <c r="EUF20" s="403"/>
      <c r="EUG20" s="403"/>
      <c r="EUH20" s="403"/>
      <c r="EUI20" s="403"/>
      <c r="EUJ20" s="403"/>
      <c r="EUK20" s="403" t="s">
        <v>99</v>
      </c>
      <c r="EUL20" s="403"/>
      <c r="EUM20" s="403"/>
      <c r="EUN20" s="403"/>
      <c r="EUO20" s="403"/>
      <c r="EUP20" s="403"/>
      <c r="EUQ20" s="403"/>
      <c r="EUR20" s="403"/>
      <c r="EUS20" s="403"/>
      <c r="EUT20" s="403"/>
      <c r="EUU20" s="403"/>
      <c r="EUV20" s="403"/>
      <c r="EUW20" s="403"/>
      <c r="EUX20" s="403"/>
      <c r="EUY20" s="403"/>
      <c r="EUZ20" s="403"/>
      <c r="EVA20" s="403"/>
      <c r="EVB20" s="403"/>
      <c r="EVC20" s="403"/>
      <c r="EVD20" s="403"/>
      <c r="EVE20" s="403"/>
      <c r="EVF20" s="403"/>
      <c r="EVG20" s="403"/>
      <c r="EVH20" s="403"/>
      <c r="EVI20" s="403"/>
      <c r="EVJ20" s="403"/>
      <c r="EVK20" s="403"/>
      <c r="EVL20" s="403"/>
      <c r="EVM20" s="403"/>
      <c r="EVN20" s="403"/>
      <c r="EVO20" s="403"/>
      <c r="EVP20" s="403"/>
      <c r="EVQ20" s="403" t="s">
        <v>99</v>
      </c>
      <c r="EVR20" s="403"/>
      <c r="EVS20" s="403"/>
      <c r="EVT20" s="403"/>
      <c r="EVU20" s="403"/>
      <c r="EVV20" s="403"/>
      <c r="EVW20" s="403"/>
      <c r="EVX20" s="403"/>
      <c r="EVY20" s="403"/>
      <c r="EVZ20" s="403"/>
      <c r="EWA20" s="403"/>
      <c r="EWB20" s="403"/>
      <c r="EWC20" s="403"/>
      <c r="EWD20" s="403"/>
      <c r="EWE20" s="403"/>
      <c r="EWF20" s="403"/>
      <c r="EWG20" s="403"/>
      <c r="EWH20" s="403"/>
      <c r="EWI20" s="403"/>
      <c r="EWJ20" s="403"/>
      <c r="EWK20" s="403"/>
      <c r="EWL20" s="403"/>
      <c r="EWM20" s="403"/>
      <c r="EWN20" s="403"/>
      <c r="EWO20" s="403"/>
      <c r="EWP20" s="403"/>
      <c r="EWQ20" s="403"/>
      <c r="EWR20" s="403"/>
      <c r="EWS20" s="403"/>
      <c r="EWT20" s="403"/>
      <c r="EWU20" s="403"/>
      <c r="EWV20" s="403"/>
      <c r="EWW20" s="403" t="s">
        <v>99</v>
      </c>
      <c r="EWX20" s="403"/>
      <c r="EWY20" s="403"/>
      <c r="EWZ20" s="403"/>
      <c r="EXA20" s="403"/>
      <c r="EXB20" s="403"/>
      <c r="EXC20" s="403"/>
      <c r="EXD20" s="403"/>
      <c r="EXE20" s="403"/>
      <c r="EXF20" s="403"/>
      <c r="EXG20" s="403"/>
      <c r="EXH20" s="403"/>
      <c r="EXI20" s="403"/>
      <c r="EXJ20" s="403"/>
      <c r="EXK20" s="403"/>
      <c r="EXL20" s="403"/>
      <c r="EXM20" s="403"/>
      <c r="EXN20" s="403"/>
      <c r="EXO20" s="403"/>
      <c r="EXP20" s="403"/>
      <c r="EXQ20" s="403"/>
      <c r="EXR20" s="403"/>
      <c r="EXS20" s="403"/>
      <c r="EXT20" s="403"/>
      <c r="EXU20" s="403"/>
      <c r="EXV20" s="403"/>
      <c r="EXW20" s="403"/>
      <c r="EXX20" s="403"/>
      <c r="EXY20" s="403"/>
      <c r="EXZ20" s="403"/>
      <c r="EYA20" s="403"/>
      <c r="EYB20" s="403"/>
      <c r="EYC20" s="403" t="s">
        <v>99</v>
      </c>
      <c r="EYD20" s="403"/>
      <c r="EYE20" s="403"/>
      <c r="EYF20" s="403"/>
      <c r="EYG20" s="403"/>
      <c r="EYH20" s="403"/>
      <c r="EYI20" s="403"/>
      <c r="EYJ20" s="403"/>
      <c r="EYK20" s="403"/>
      <c r="EYL20" s="403"/>
      <c r="EYM20" s="403"/>
      <c r="EYN20" s="403"/>
      <c r="EYO20" s="403"/>
      <c r="EYP20" s="403"/>
      <c r="EYQ20" s="403"/>
      <c r="EYR20" s="403"/>
      <c r="EYS20" s="403"/>
      <c r="EYT20" s="403"/>
      <c r="EYU20" s="403"/>
      <c r="EYV20" s="403"/>
      <c r="EYW20" s="403"/>
      <c r="EYX20" s="403"/>
      <c r="EYY20" s="403"/>
      <c r="EYZ20" s="403"/>
      <c r="EZA20" s="403"/>
      <c r="EZB20" s="403"/>
      <c r="EZC20" s="403"/>
      <c r="EZD20" s="403"/>
      <c r="EZE20" s="403"/>
      <c r="EZF20" s="403"/>
      <c r="EZG20" s="403"/>
      <c r="EZH20" s="403"/>
      <c r="EZI20" s="403" t="s">
        <v>99</v>
      </c>
      <c r="EZJ20" s="403"/>
      <c r="EZK20" s="403"/>
      <c r="EZL20" s="403"/>
      <c r="EZM20" s="403"/>
      <c r="EZN20" s="403"/>
      <c r="EZO20" s="403"/>
      <c r="EZP20" s="403"/>
      <c r="EZQ20" s="403"/>
      <c r="EZR20" s="403"/>
      <c r="EZS20" s="403"/>
      <c r="EZT20" s="403"/>
      <c r="EZU20" s="403"/>
      <c r="EZV20" s="403"/>
      <c r="EZW20" s="403"/>
      <c r="EZX20" s="403"/>
      <c r="EZY20" s="403"/>
      <c r="EZZ20" s="403"/>
      <c r="FAA20" s="403"/>
      <c r="FAB20" s="403"/>
      <c r="FAC20" s="403"/>
      <c r="FAD20" s="403"/>
      <c r="FAE20" s="403"/>
      <c r="FAF20" s="403"/>
      <c r="FAG20" s="403"/>
      <c r="FAH20" s="403"/>
      <c r="FAI20" s="403"/>
      <c r="FAJ20" s="403"/>
      <c r="FAK20" s="403"/>
      <c r="FAL20" s="403"/>
      <c r="FAM20" s="403"/>
      <c r="FAN20" s="403"/>
      <c r="FAO20" s="403" t="s">
        <v>99</v>
      </c>
      <c r="FAP20" s="403"/>
      <c r="FAQ20" s="403"/>
      <c r="FAR20" s="403"/>
      <c r="FAS20" s="403"/>
      <c r="FAT20" s="403"/>
      <c r="FAU20" s="403"/>
      <c r="FAV20" s="403"/>
      <c r="FAW20" s="403"/>
      <c r="FAX20" s="403"/>
      <c r="FAY20" s="403"/>
      <c r="FAZ20" s="403"/>
      <c r="FBA20" s="403"/>
      <c r="FBB20" s="403"/>
      <c r="FBC20" s="403"/>
      <c r="FBD20" s="403"/>
      <c r="FBE20" s="403"/>
      <c r="FBF20" s="403"/>
      <c r="FBG20" s="403"/>
      <c r="FBH20" s="403"/>
      <c r="FBI20" s="403"/>
      <c r="FBJ20" s="403"/>
      <c r="FBK20" s="403"/>
      <c r="FBL20" s="403"/>
      <c r="FBM20" s="403"/>
      <c r="FBN20" s="403"/>
      <c r="FBO20" s="403"/>
      <c r="FBP20" s="403"/>
      <c r="FBQ20" s="403"/>
      <c r="FBR20" s="403"/>
      <c r="FBS20" s="403"/>
      <c r="FBT20" s="403"/>
      <c r="FBU20" s="403" t="s">
        <v>99</v>
      </c>
      <c r="FBV20" s="403"/>
      <c r="FBW20" s="403"/>
      <c r="FBX20" s="403"/>
      <c r="FBY20" s="403"/>
      <c r="FBZ20" s="403"/>
      <c r="FCA20" s="403"/>
      <c r="FCB20" s="403"/>
      <c r="FCC20" s="403"/>
      <c r="FCD20" s="403"/>
      <c r="FCE20" s="403"/>
      <c r="FCF20" s="403"/>
      <c r="FCG20" s="403"/>
      <c r="FCH20" s="403"/>
      <c r="FCI20" s="403"/>
      <c r="FCJ20" s="403"/>
      <c r="FCK20" s="403"/>
      <c r="FCL20" s="403"/>
      <c r="FCM20" s="403"/>
      <c r="FCN20" s="403"/>
      <c r="FCO20" s="403"/>
      <c r="FCP20" s="403"/>
      <c r="FCQ20" s="403"/>
      <c r="FCR20" s="403"/>
      <c r="FCS20" s="403"/>
      <c r="FCT20" s="403"/>
      <c r="FCU20" s="403"/>
      <c r="FCV20" s="403"/>
      <c r="FCW20" s="403"/>
      <c r="FCX20" s="403"/>
      <c r="FCY20" s="403"/>
      <c r="FCZ20" s="403"/>
      <c r="FDA20" s="403" t="s">
        <v>99</v>
      </c>
      <c r="FDB20" s="403"/>
      <c r="FDC20" s="403"/>
      <c r="FDD20" s="403"/>
      <c r="FDE20" s="403"/>
      <c r="FDF20" s="403"/>
      <c r="FDG20" s="403"/>
      <c r="FDH20" s="403"/>
      <c r="FDI20" s="403"/>
      <c r="FDJ20" s="403"/>
      <c r="FDK20" s="403"/>
      <c r="FDL20" s="403"/>
      <c r="FDM20" s="403"/>
      <c r="FDN20" s="403"/>
      <c r="FDO20" s="403"/>
      <c r="FDP20" s="403"/>
      <c r="FDQ20" s="403"/>
      <c r="FDR20" s="403"/>
      <c r="FDS20" s="403"/>
      <c r="FDT20" s="403"/>
      <c r="FDU20" s="403"/>
      <c r="FDV20" s="403"/>
      <c r="FDW20" s="403"/>
      <c r="FDX20" s="403"/>
      <c r="FDY20" s="403"/>
      <c r="FDZ20" s="403"/>
      <c r="FEA20" s="403"/>
      <c r="FEB20" s="403"/>
      <c r="FEC20" s="403"/>
      <c r="FED20" s="403"/>
      <c r="FEE20" s="403"/>
      <c r="FEF20" s="403"/>
      <c r="FEG20" s="403" t="s">
        <v>99</v>
      </c>
      <c r="FEH20" s="403"/>
      <c r="FEI20" s="403"/>
      <c r="FEJ20" s="403"/>
      <c r="FEK20" s="403"/>
      <c r="FEL20" s="403"/>
      <c r="FEM20" s="403"/>
      <c r="FEN20" s="403"/>
      <c r="FEO20" s="403"/>
      <c r="FEP20" s="403"/>
      <c r="FEQ20" s="403"/>
      <c r="FER20" s="403"/>
      <c r="FES20" s="403"/>
      <c r="FET20" s="403"/>
      <c r="FEU20" s="403"/>
      <c r="FEV20" s="403"/>
      <c r="FEW20" s="403"/>
      <c r="FEX20" s="403"/>
      <c r="FEY20" s="403"/>
      <c r="FEZ20" s="403"/>
      <c r="FFA20" s="403"/>
      <c r="FFB20" s="403"/>
      <c r="FFC20" s="403"/>
      <c r="FFD20" s="403"/>
      <c r="FFE20" s="403"/>
      <c r="FFF20" s="403"/>
      <c r="FFG20" s="403"/>
      <c r="FFH20" s="403"/>
      <c r="FFI20" s="403"/>
      <c r="FFJ20" s="403"/>
      <c r="FFK20" s="403"/>
      <c r="FFL20" s="403"/>
      <c r="FFM20" s="403" t="s">
        <v>99</v>
      </c>
      <c r="FFN20" s="403"/>
      <c r="FFO20" s="403"/>
      <c r="FFP20" s="403"/>
      <c r="FFQ20" s="403"/>
      <c r="FFR20" s="403"/>
      <c r="FFS20" s="403"/>
      <c r="FFT20" s="403"/>
      <c r="FFU20" s="403"/>
      <c r="FFV20" s="403"/>
      <c r="FFW20" s="403"/>
      <c r="FFX20" s="403"/>
      <c r="FFY20" s="403"/>
      <c r="FFZ20" s="403"/>
      <c r="FGA20" s="403"/>
      <c r="FGB20" s="403"/>
      <c r="FGC20" s="403"/>
      <c r="FGD20" s="403"/>
      <c r="FGE20" s="403"/>
      <c r="FGF20" s="403"/>
      <c r="FGG20" s="403"/>
      <c r="FGH20" s="403"/>
      <c r="FGI20" s="403"/>
      <c r="FGJ20" s="403"/>
      <c r="FGK20" s="403"/>
      <c r="FGL20" s="403"/>
      <c r="FGM20" s="403"/>
      <c r="FGN20" s="403"/>
      <c r="FGO20" s="403"/>
      <c r="FGP20" s="403"/>
      <c r="FGQ20" s="403"/>
      <c r="FGR20" s="403"/>
      <c r="FGS20" s="403" t="s">
        <v>99</v>
      </c>
      <c r="FGT20" s="403"/>
      <c r="FGU20" s="403"/>
      <c r="FGV20" s="403"/>
      <c r="FGW20" s="403"/>
      <c r="FGX20" s="403"/>
      <c r="FGY20" s="403"/>
      <c r="FGZ20" s="403"/>
      <c r="FHA20" s="403"/>
      <c r="FHB20" s="403"/>
      <c r="FHC20" s="403"/>
      <c r="FHD20" s="403"/>
      <c r="FHE20" s="403"/>
      <c r="FHF20" s="403"/>
      <c r="FHG20" s="403"/>
      <c r="FHH20" s="403"/>
      <c r="FHI20" s="403"/>
      <c r="FHJ20" s="403"/>
      <c r="FHK20" s="403"/>
      <c r="FHL20" s="403"/>
      <c r="FHM20" s="403"/>
      <c r="FHN20" s="403"/>
      <c r="FHO20" s="403"/>
      <c r="FHP20" s="403"/>
      <c r="FHQ20" s="403"/>
      <c r="FHR20" s="403"/>
      <c r="FHS20" s="403"/>
      <c r="FHT20" s="403"/>
      <c r="FHU20" s="403"/>
      <c r="FHV20" s="403"/>
      <c r="FHW20" s="403"/>
      <c r="FHX20" s="403"/>
      <c r="FHY20" s="403" t="s">
        <v>99</v>
      </c>
      <c r="FHZ20" s="403"/>
      <c r="FIA20" s="403"/>
      <c r="FIB20" s="403"/>
      <c r="FIC20" s="403"/>
      <c r="FID20" s="403"/>
      <c r="FIE20" s="403"/>
      <c r="FIF20" s="403"/>
      <c r="FIG20" s="403"/>
      <c r="FIH20" s="403"/>
      <c r="FII20" s="403"/>
      <c r="FIJ20" s="403"/>
      <c r="FIK20" s="403"/>
      <c r="FIL20" s="403"/>
      <c r="FIM20" s="403"/>
      <c r="FIN20" s="403"/>
      <c r="FIO20" s="403"/>
      <c r="FIP20" s="403"/>
      <c r="FIQ20" s="403"/>
      <c r="FIR20" s="403"/>
      <c r="FIS20" s="403"/>
      <c r="FIT20" s="403"/>
      <c r="FIU20" s="403"/>
      <c r="FIV20" s="403"/>
      <c r="FIW20" s="403"/>
      <c r="FIX20" s="403"/>
      <c r="FIY20" s="403"/>
      <c r="FIZ20" s="403"/>
      <c r="FJA20" s="403"/>
      <c r="FJB20" s="403"/>
      <c r="FJC20" s="403"/>
      <c r="FJD20" s="403"/>
      <c r="FJE20" s="403" t="s">
        <v>99</v>
      </c>
      <c r="FJF20" s="403"/>
      <c r="FJG20" s="403"/>
      <c r="FJH20" s="403"/>
      <c r="FJI20" s="403"/>
      <c r="FJJ20" s="403"/>
      <c r="FJK20" s="403"/>
      <c r="FJL20" s="403"/>
      <c r="FJM20" s="403"/>
      <c r="FJN20" s="403"/>
      <c r="FJO20" s="403"/>
      <c r="FJP20" s="403"/>
      <c r="FJQ20" s="403"/>
      <c r="FJR20" s="403"/>
      <c r="FJS20" s="403"/>
      <c r="FJT20" s="403"/>
      <c r="FJU20" s="403"/>
      <c r="FJV20" s="403"/>
      <c r="FJW20" s="403"/>
      <c r="FJX20" s="403"/>
      <c r="FJY20" s="403"/>
      <c r="FJZ20" s="403"/>
      <c r="FKA20" s="403"/>
      <c r="FKB20" s="403"/>
      <c r="FKC20" s="403"/>
      <c r="FKD20" s="403"/>
      <c r="FKE20" s="403"/>
      <c r="FKF20" s="403"/>
      <c r="FKG20" s="403"/>
      <c r="FKH20" s="403"/>
      <c r="FKI20" s="403"/>
      <c r="FKJ20" s="403"/>
      <c r="FKK20" s="403" t="s">
        <v>99</v>
      </c>
      <c r="FKL20" s="403"/>
      <c r="FKM20" s="403"/>
      <c r="FKN20" s="403"/>
      <c r="FKO20" s="403"/>
      <c r="FKP20" s="403"/>
      <c r="FKQ20" s="403"/>
      <c r="FKR20" s="403"/>
      <c r="FKS20" s="403"/>
      <c r="FKT20" s="403"/>
      <c r="FKU20" s="403"/>
      <c r="FKV20" s="403"/>
      <c r="FKW20" s="403"/>
      <c r="FKX20" s="403"/>
      <c r="FKY20" s="403"/>
      <c r="FKZ20" s="403"/>
      <c r="FLA20" s="403"/>
      <c r="FLB20" s="403"/>
      <c r="FLC20" s="403"/>
      <c r="FLD20" s="403"/>
      <c r="FLE20" s="403"/>
      <c r="FLF20" s="403"/>
      <c r="FLG20" s="403"/>
      <c r="FLH20" s="403"/>
      <c r="FLI20" s="403"/>
      <c r="FLJ20" s="403"/>
      <c r="FLK20" s="403"/>
      <c r="FLL20" s="403"/>
      <c r="FLM20" s="403"/>
      <c r="FLN20" s="403"/>
      <c r="FLO20" s="403"/>
      <c r="FLP20" s="403"/>
      <c r="FLQ20" s="403" t="s">
        <v>99</v>
      </c>
      <c r="FLR20" s="403"/>
      <c r="FLS20" s="403"/>
      <c r="FLT20" s="403"/>
      <c r="FLU20" s="403"/>
      <c r="FLV20" s="403"/>
      <c r="FLW20" s="403"/>
      <c r="FLX20" s="403"/>
      <c r="FLY20" s="403"/>
      <c r="FLZ20" s="403"/>
      <c r="FMA20" s="403"/>
      <c r="FMB20" s="403"/>
      <c r="FMC20" s="403"/>
      <c r="FMD20" s="403"/>
      <c r="FME20" s="403"/>
      <c r="FMF20" s="403"/>
      <c r="FMG20" s="403"/>
      <c r="FMH20" s="403"/>
      <c r="FMI20" s="403"/>
      <c r="FMJ20" s="403"/>
      <c r="FMK20" s="403"/>
      <c r="FML20" s="403"/>
      <c r="FMM20" s="403"/>
      <c r="FMN20" s="403"/>
      <c r="FMO20" s="403"/>
      <c r="FMP20" s="403"/>
      <c r="FMQ20" s="403"/>
      <c r="FMR20" s="403"/>
      <c r="FMS20" s="403"/>
      <c r="FMT20" s="403"/>
      <c r="FMU20" s="403"/>
      <c r="FMV20" s="403"/>
      <c r="FMW20" s="403" t="s">
        <v>99</v>
      </c>
      <c r="FMX20" s="403"/>
      <c r="FMY20" s="403"/>
      <c r="FMZ20" s="403"/>
      <c r="FNA20" s="403"/>
      <c r="FNB20" s="403"/>
      <c r="FNC20" s="403"/>
      <c r="FND20" s="403"/>
      <c r="FNE20" s="403"/>
      <c r="FNF20" s="403"/>
      <c r="FNG20" s="403"/>
      <c r="FNH20" s="403"/>
      <c r="FNI20" s="403"/>
      <c r="FNJ20" s="403"/>
      <c r="FNK20" s="403"/>
      <c r="FNL20" s="403"/>
      <c r="FNM20" s="403"/>
      <c r="FNN20" s="403"/>
      <c r="FNO20" s="403"/>
      <c r="FNP20" s="403"/>
      <c r="FNQ20" s="403"/>
      <c r="FNR20" s="403"/>
      <c r="FNS20" s="403"/>
      <c r="FNT20" s="403"/>
      <c r="FNU20" s="403"/>
      <c r="FNV20" s="403"/>
      <c r="FNW20" s="403"/>
      <c r="FNX20" s="403"/>
      <c r="FNY20" s="403"/>
      <c r="FNZ20" s="403"/>
      <c r="FOA20" s="403"/>
      <c r="FOB20" s="403"/>
      <c r="FOC20" s="403" t="s">
        <v>99</v>
      </c>
      <c r="FOD20" s="403"/>
      <c r="FOE20" s="403"/>
      <c r="FOF20" s="403"/>
      <c r="FOG20" s="403"/>
      <c r="FOH20" s="403"/>
      <c r="FOI20" s="403"/>
      <c r="FOJ20" s="403"/>
      <c r="FOK20" s="403"/>
      <c r="FOL20" s="403"/>
      <c r="FOM20" s="403"/>
      <c r="FON20" s="403"/>
      <c r="FOO20" s="403"/>
      <c r="FOP20" s="403"/>
      <c r="FOQ20" s="403"/>
      <c r="FOR20" s="403"/>
      <c r="FOS20" s="403"/>
      <c r="FOT20" s="403"/>
      <c r="FOU20" s="403"/>
      <c r="FOV20" s="403"/>
      <c r="FOW20" s="403"/>
      <c r="FOX20" s="403"/>
      <c r="FOY20" s="403"/>
      <c r="FOZ20" s="403"/>
      <c r="FPA20" s="403"/>
      <c r="FPB20" s="403"/>
      <c r="FPC20" s="403"/>
      <c r="FPD20" s="403"/>
      <c r="FPE20" s="403"/>
      <c r="FPF20" s="403"/>
      <c r="FPG20" s="403"/>
      <c r="FPH20" s="403"/>
      <c r="FPI20" s="403" t="s">
        <v>99</v>
      </c>
      <c r="FPJ20" s="403"/>
      <c r="FPK20" s="403"/>
      <c r="FPL20" s="403"/>
      <c r="FPM20" s="403"/>
      <c r="FPN20" s="403"/>
      <c r="FPO20" s="403"/>
      <c r="FPP20" s="403"/>
      <c r="FPQ20" s="403"/>
      <c r="FPR20" s="403"/>
      <c r="FPS20" s="403"/>
      <c r="FPT20" s="403"/>
      <c r="FPU20" s="403"/>
      <c r="FPV20" s="403"/>
      <c r="FPW20" s="403"/>
      <c r="FPX20" s="403"/>
      <c r="FPY20" s="403"/>
      <c r="FPZ20" s="403"/>
      <c r="FQA20" s="403"/>
      <c r="FQB20" s="403"/>
      <c r="FQC20" s="403"/>
      <c r="FQD20" s="403"/>
      <c r="FQE20" s="403"/>
      <c r="FQF20" s="403"/>
      <c r="FQG20" s="403"/>
      <c r="FQH20" s="403"/>
      <c r="FQI20" s="403"/>
      <c r="FQJ20" s="403"/>
      <c r="FQK20" s="403"/>
      <c r="FQL20" s="403"/>
      <c r="FQM20" s="403"/>
      <c r="FQN20" s="403"/>
      <c r="FQO20" s="403" t="s">
        <v>99</v>
      </c>
      <c r="FQP20" s="403"/>
      <c r="FQQ20" s="403"/>
      <c r="FQR20" s="403"/>
      <c r="FQS20" s="403"/>
      <c r="FQT20" s="403"/>
      <c r="FQU20" s="403"/>
      <c r="FQV20" s="403"/>
      <c r="FQW20" s="403"/>
      <c r="FQX20" s="403"/>
      <c r="FQY20" s="403"/>
      <c r="FQZ20" s="403"/>
      <c r="FRA20" s="403"/>
      <c r="FRB20" s="403"/>
      <c r="FRC20" s="403"/>
      <c r="FRD20" s="403"/>
      <c r="FRE20" s="403"/>
      <c r="FRF20" s="403"/>
      <c r="FRG20" s="403"/>
      <c r="FRH20" s="403"/>
      <c r="FRI20" s="403"/>
      <c r="FRJ20" s="403"/>
      <c r="FRK20" s="403"/>
      <c r="FRL20" s="403"/>
      <c r="FRM20" s="403"/>
      <c r="FRN20" s="403"/>
      <c r="FRO20" s="403"/>
      <c r="FRP20" s="403"/>
      <c r="FRQ20" s="403"/>
      <c r="FRR20" s="403"/>
      <c r="FRS20" s="403"/>
      <c r="FRT20" s="403"/>
      <c r="FRU20" s="403" t="s">
        <v>99</v>
      </c>
      <c r="FRV20" s="403"/>
      <c r="FRW20" s="403"/>
      <c r="FRX20" s="403"/>
      <c r="FRY20" s="403"/>
      <c r="FRZ20" s="403"/>
      <c r="FSA20" s="403"/>
      <c r="FSB20" s="403"/>
      <c r="FSC20" s="403"/>
      <c r="FSD20" s="403"/>
      <c r="FSE20" s="403"/>
      <c r="FSF20" s="403"/>
      <c r="FSG20" s="403"/>
      <c r="FSH20" s="403"/>
      <c r="FSI20" s="403"/>
      <c r="FSJ20" s="403"/>
      <c r="FSK20" s="403"/>
      <c r="FSL20" s="403"/>
      <c r="FSM20" s="403"/>
      <c r="FSN20" s="403"/>
      <c r="FSO20" s="403"/>
      <c r="FSP20" s="403"/>
      <c r="FSQ20" s="403"/>
      <c r="FSR20" s="403"/>
      <c r="FSS20" s="403"/>
      <c r="FST20" s="403"/>
      <c r="FSU20" s="403"/>
      <c r="FSV20" s="403"/>
      <c r="FSW20" s="403"/>
      <c r="FSX20" s="403"/>
      <c r="FSY20" s="403"/>
      <c r="FSZ20" s="403"/>
      <c r="FTA20" s="403" t="s">
        <v>99</v>
      </c>
      <c r="FTB20" s="403"/>
      <c r="FTC20" s="403"/>
      <c r="FTD20" s="403"/>
      <c r="FTE20" s="403"/>
      <c r="FTF20" s="403"/>
      <c r="FTG20" s="403"/>
      <c r="FTH20" s="403"/>
      <c r="FTI20" s="403"/>
      <c r="FTJ20" s="403"/>
      <c r="FTK20" s="403"/>
      <c r="FTL20" s="403"/>
      <c r="FTM20" s="403"/>
      <c r="FTN20" s="403"/>
      <c r="FTO20" s="403"/>
      <c r="FTP20" s="403"/>
      <c r="FTQ20" s="403"/>
      <c r="FTR20" s="403"/>
      <c r="FTS20" s="403"/>
      <c r="FTT20" s="403"/>
      <c r="FTU20" s="403"/>
      <c r="FTV20" s="403"/>
      <c r="FTW20" s="403"/>
      <c r="FTX20" s="403"/>
      <c r="FTY20" s="403"/>
      <c r="FTZ20" s="403"/>
      <c r="FUA20" s="403"/>
      <c r="FUB20" s="403"/>
      <c r="FUC20" s="403"/>
      <c r="FUD20" s="403"/>
      <c r="FUE20" s="403"/>
      <c r="FUF20" s="403"/>
      <c r="FUG20" s="403" t="s">
        <v>99</v>
      </c>
      <c r="FUH20" s="403"/>
      <c r="FUI20" s="403"/>
      <c r="FUJ20" s="403"/>
      <c r="FUK20" s="403"/>
      <c r="FUL20" s="403"/>
      <c r="FUM20" s="403"/>
      <c r="FUN20" s="403"/>
      <c r="FUO20" s="403"/>
      <c r="FUP20" s="403"/>
      <c r="FUQ20" s="403"/>
      <c r="FUR20" s="403"/>
      <c r="FUS20" s="403"/>
      <c r="FUT20" s="403"/>
      <c r="FUU20" s="403"/>
      <c r="FUV20" s="403"/>
      <c r="FUW20" s="403"/>
      <c r="FUX20" s="403"/>
      <c r="FUY20" s="403"/>
      <c r="FUZ20" s="403"/>
      <c r="FVA20" s="403"/>
      <c r="FVB20" s="403"/>
      <c r="FVC20" s="403"/>
      <c r="FVD20" s="403"/>
      <c r="FVE20" s="403"/>
      <c r="FVF20" s="403"/>
      <c r="FVG20" s="403"/>
      <c r="FVH20" s="403"/>
      <c r="FVI20" s="403"/>
      <c r="FVJ20" s="403"/>
      <c r="FVK20" s="403"/>
      <c r="FVL20" s="403"/>
      <c r="FVM20" s="403" t="s">
        <v>99</v>
      </c>
      <c r="FVN20" s="403"/>
      <c r="FVO20" s="403"/>
      <c r="FVP20" s="403"/>
      <c r="FVQ20" s="403"/>
      <c r="FVR20" s="403"/>
      <c r="FVS20" s="403"/>
      <c r="FVT20" s="403"/>
      <c r="FVU20" s="403"/>
      <c r="FVV20" s="403"/>
      <c r="FVW20" s="403"/>
      <c r="FVX20" s="403"/>
      <c r="FVY20" s="403"/>
      <c r="FVZ20" s="403"/>
      <c r="FWA20" s="403"/>
      <c r="FWB20" s="403"/>
      <c r="FWC20" s="403"/>
      <c r="FWD20" s="403"/>
      <c r="FWE20" s="403"/>
      <c r="FWF20" s="403"/>
      <c r="FWG20" s="403"/>
      <c r="FWH20" s="403"/>
      <c r="FWI20" s="403"/>
      <c r="FWJ20" s="403"/>
      <c r="FWK20" s="403"/>
      <c r="FWL20" s="403"/>
      <c r="FWM20" s="403"/>
      <c r="FWN20" s="403"/>
      <c r="FWO20" s="403"/>
      <c r="FWP20" s="403"/>
      <c r="FWQ20" s="403"/>
      <c r="FWR20" s="403"/>
      <c r="FWS20" s="403" t="s">
        <v>99</v>
      </c>
      <c r="FWT20" s="403"/>
      <c r="FWU20" s="403"/>
      <c r="FWV20" s="403"/>
      <c r="FWW20" s="403"/>
      <c r="FWX20" s="403"/>
      <c r="FWY20" s="403"/>
      <c r="FWZ20" s="403"/>
      <c r="FXA20" s="403"/>
      <c r="FXB20" s="403"/>
      <c r="FXC20" s="403"/>
      <c r="FXD20" s="403"/>
      <c r="FXE20" s="403"/>
      <c r="FXF20" s="403"/>
      <c r="FXG20" s="403"/>
      <c r="FXH20" s="403"/>
      <c r="FXI20" s="403"/>
      <c r="FXJ20" s="403"/>
      <c r="FXK20" s="403"/>
      <c r="FXL20" s="403"/>
      <c r="FXM20" s="403"/>
      <c r="FXN20" s="403"/>
      <c r="FXO20" s="403"/>
      <c r="FXP20" s="403"/>
      <c r="FXQ20" s="403"/>
      <c r="FXR20" s="403"/>
      <c r="FXS20" s="403"/>
      <c r="FXT20" s="403"/>
      <c r="FXU20" s="403"/>
      <c r="FXV20" s="403"/>
      <c r="FXW20" s="403"/>
      <c r="FXX20" s="403"/>
      <c r="FXY20" s="403" t="s">
        <v>99</v>
      </c>
      <c r="FXZ20" s="403"/>
      <c r="FYA20" s="403"/>
      <c r="FYB20" s="403"/>
      <c r="FYC20" s="403"/>
      <c r="FYD20" s="403"/>
      <c r="FYE20" s="403"/>
      <c r="FYF20" s="403"/>
      <c r="FYG20" s="403"/>
      <c r="FYH20" s="403"/>
      <c r="FYI20" s="403"/>
      <c r="FYJ20" s="403"/>
      <c r="FYK20" s="403"/>
      <c r="FYL20" s="403"/>
      <c r="FYM20" s="403"/>
      <c r="FYN20" s="403"/>
      <c r="FYO20" s="403"/>
      <c r="FYP20" s="403"/>
      <c r="FYQ20" s="403"/>
      <c r="FYR20" s="403"/>
      <c r="FYS20" s="403"/>
      <c r="FYT20" s="403"/>
      <c r="FYU20" s="403"/>
      <c r="FYV20" s="403"/>
      <c r="FYW20" s="403"/>
      <c r="FYX20" s="403"/>
      <c r="FYY20" s="403"/>
      <c r="FYZ20" s="403"/>
      <c r="FZA20" s="403"/>
      <c r="FZB20" s="403"/>
      <c r="FZC20" s="403"/>
      <c r="FZD20" s="403"/>
      <c r="FZE20" s="403" t="s">
        <v>99</v>
      </c>
      <c r="FZF20" s="403"/>
      <c r="FZG20" s="403"/>
      <c r="FZH20" s="403"/>
      <c r="FZI20" s="403"/>
      <c r="FZJ20" s="403"/>
      <c r="FZK20" s="403"/>
      <c r="FZL20" s="403"/>
      <c r="FZM20" s="403"/>
      <c r="FZN20" s="403"/>
      <c r="FZO20" s="403"/>
      <c r="FZP20" s="403"/>
      <c r="FZQ20" s="403"/>
      <c r="FZR20" s="403"/>
      <c r="FZS20" s="403"/>
      <c r="FZT20" s="403"/>
      <c r="FZU20" s="403"/>
      <c r="FZV20" s="403"/>
      <c r="FZW20" s="403"/>
      <c r="FZX20" s="403"/>
      <c r="FZY20" s="403"/>
      <c r="FZZ20" s="403"/>
      <c r="GAA20" s="403"/>
      <c r="GAB20" s="403"/>
      <c r="GAC20" s="403"/>
      <c r="GAD20" s="403"/>
      <c r="GAE20" s="403"/>
      <c r="GAF20" s="403"/>
      <c r="GAG20" s="403"/>
      <c r="GAH20" s="403"/>
      <c r="GAI20" s="403"/>
      <c r="GAJ20" s="403"/>
      <c r="GAK20" s="403" t="s">
        <v>99</v>
      </c>
      <c r="GAL20" s="403"/>
      <c r="GAM20" s="403"/>
      <c r="GAN20" s="403"/>
      <c r="GAO20" s="403"/>
      <c r="GAP20" s="403"/>
      <c r="GAQ20" s="403"/>
      <c r="GAR20" s="403"/>
      <c r="GAS20" s="403"/>
      <c r="GAT20" s="403"/>
      <c r="GAU20" s="403"/>
      <c r="GAV20" s="403"/>
      <c r="GAW20" s="403"/>
      <c r="GAX20" s="403"/>
      <c r="GAY20" s="403"/>
      <c r="GAZ20" s="403"/>
      <c r="GBA20" s="403"/>
      <c r="GBB20" s="403"/>
      <c r="GBC20" s="403"/>
      <c r="GBD20" s="403"/>
      <c r="GBE20" s="403"/>
      <c r="GBF20" s="403"/>
      <c r="GBG20" s="403"/>
      <c r="GBH20" s="403"/>
      <c r="GBI20" s="403"/>
      <c r="GBJ20" s="403"/>
      <c r="GBK20" s="403"/>
      <c r="GBL20" s="403"/>
      <c r="GBM20" s="403"/>
      <c r="GBN20" s="403"/>
      <c r="GBO20" s="403"/>
      <c r="GBP20" s="403"/>
      <c r="GBQ20" s="403" t="s">
        <v>99</v>
      </c>
      <c r="GBR20" s="403"/>
      <c r="GBS20" s="403"/>
      <c r="GBT20" s="403"/>
      <c r="GBU20" s="403"/>
      <c r="GBV20" s="403"/>
      <c r="GBW20" s="403"/>
      <c r="GBX20" s="403"/>
      <c r="GBY20" s="403"/>
      <c r="GBZ20" s="403"/>
      <c r="GCA20" s="403"/>
      <c r="GCB20" s="403"/>
      <c r="GCC20" s="403"/>
      <c r="GCD20" s="403"/>
      <c r="GCE20" s="403"/>
      <c r="GCF20" s="403"/>
      <c r="GCG20" s="403"/>
      <c r="GCH20" s="403"/>
      <c r="GCI20" s="403"/>
      <c r="GCJ20" s="403"/>
      <c r="GCK20" s="403"/>
      <c r="GCL20" s="403"/>
      <c r="GCM20" s="403"/>
      <c r="GCN20" s="403"/>
      <c r="GCO20" s="403"/>
      <c r="GCP20" s="403"/>
      <c r="GCQ20" s="403"/>
      <c r="GCR20" s="403"/>
      <c r="GCS20" s="403"/>
      <c r="GCT20" s="403"/>
      <c r="GCU20" s="403"/>
      <c r="GCV20" s="403"/>
      <c r="GCW20" s="403" t="s">
        <v>99</v>
      </c>
      <c r="GCX20" s="403"/>
      <c r="GCY20" s="403"/>
      <c r="GCZ20" s="403"/>
      <c r="GDA20" s="403"/>
      <c r="GDB20" s="403"/>
      <c r="GDC20" s="403"/>
      <c r="GDD20" s="403"/>
      <c r="GDE20" s="403"/>
      <c r="GDF20" s="403"/>
      <c r="GDG20" s="403"/>
      <c r="GDH20" s="403"/>
      <c r="GDI20" s="403"/>
      <c r="GDJ20" s="403"/>
      <c r="GDK20" s="403"/>
      <c r="GDL20" s="403"/>
      <c r="GDM20" s="403"/>
      <c r="GDN20" s="403"/>
      <c r="GDO20" s="403"/>
      <c r="GDP20" s="403"/>
      <c r="GDQ20" s="403"/>
      <c r="GDR20" s="403"/>
      <c r="GDS20" s="403"/>
      <c r="GDT20" s="403"/>
      <c r="GDU20" s="403"/>
      <c r="GDV20" s="403"/>
      <c r="GDW20" s="403"/>
      <c r="GDX20" s="403"/>
      <c r="GDY20" s="403"/>
      <c r="GDZ20" s="403"/>
      <c r="GEA20" s="403"/>
      <c r="GEB20" s="403"/>
      <c r="GEC20" s="403" t="s">
        <v>99</v>
      </c>
      <c r="GED20" s="403"/>
      <c r="GEE20" s="403"/>
      <c r="GEF20" s="403"/>
      <c r="GEG20" s="403"/>
      <c r="GEH20" s="403"/>
      <c r="GEI20" s="403"/>
      <c r="GEJ20" s="403"/>
      <c r="GEK20" s="403"/>
      <c r="GEL20" s="403"/>
      <c r="GEM20" s="403"/>
      <c r="GEN20" s="403"/>
      <c r="GEO20" s="403"/>
      <c r="GEP20" s="403"/>
      <c r="GEQ20" s="403"/>
      <c r="GER20" s="403"/>
      <c r="GES20" s="403"/>
      <c r="GET20" s="403"/>
      <c r="GEU20" s="403"/>
      <c r="GEV20" s="403"/>
      <c r="GEW20" s="403"/>
      <c r="GEX20" s="403"/>
      <c r="GEY20" s="403"/>
      <c r="GEZ20" s="403"/>
      <c r="GFA20" s="403"/>
      <c r="GFB20" s="403"/>
      <c r="GFC20" s="403"/>
      <c r="GFD20" s="403"/>
      <c r="GFE20" s="403"/>
      <c r="GFF20" s="403"/>
      <c r="GFG20" s="403"/>
      <c r="GFH20" s="403"/>
      <c r="GFI20" s="403" t="s">
        <v>99</v>
      </c>
      <c r="GFJ20" s="403"/>
      <c r="GFK20" s="403"/>
      <c r="GFL20" s="403"/>
      <c r="GFM20" s="403"/>
      <c r="GFN20" s="403"/>
      <c r="GFO20" s="403"/>
      <c r="GFP20" s="403"/>
      <c r="GFQ20" s="403"/>
      <c r="GFR20" s="403"/>
      <c r="GFS20" s="403"/>
      <c r="GFT20" s="403"/>
      <c r="GFU20" s="403"/>
      <c r="GFV20" s="403"/>
      <c r="GFW20" s="403"/>
      <c r="GFX20" s="403"/>
      <c r="GFY20" s="403"/>
      <c r="GFZ20" s="403"/>
      <c r="GGA20" s="403"/>
      <c r="GGB20" s="403"/>
      <c r="GGC20" s="403"/>
      <c r="GGD20" s="403"/>
      <c r="GGE20" s="403"/>
      <c r="GGF20" s="403"/>
      <c r="GGG20" s="403"/>
      <c r="GGH20" s="403"/>
      <c r="GGI20" s="403"/>
      <c r="GGJ20" s="403"/>
      <c r="GGK20" s="403"/>
      <c r="GGL20" s="403"/>
      <c r="GGM20" s="403"/>
      <c r="GGN20" s="403"/>
      <c r="GGO20" s="403" t="s">
        <v>99</v>
      </c>
      <c r="GGP20" s="403"/>
      <c r="GGQ20" s="403"/>
      <c r="GGR20" s="403"/>
      <c r="GGS20" s="403"/>
      <c r="GGT20" s="403"/>
      <c r="GGU20" s="403"/>
      <c r="GGV20" s="403"/>
      <c r="GGW20" s="403"/>
      <c r="GGX20" s="403"/>
      <c r="GGY20" s="403"/>
      <c r="GGZ20" s="403"/>
      <c r="GHA20" s="403"/>
      <c r="GHB20" s="403"/>
      <c r="GHC20" s="403"/>
      <c r="GHD20" s="403"/>
      <c r="GHE20" s="403"/>
      <c r="GHF20" s="403"/>
      <c r="GHG20" s="403"/>
      <c r="GHH20" s="403"/>
      <c r="GHI20" s="403"/>
      <c r="GHJ20" s="403"/>
      <c r="GHK20" s="403"/>
      <c r="GHL20" s="403"/>
      <c r="GHM20" s="403"/>
      <c r="GHN20" s="403"/>
      <c r="GHO20" s="403"/>
      <c r="GHP20" s="403"/>
      <c r="GHQ20" s="403"/>
      <c r="GHR20" s="403"/>
      <c r="GHS20" s="403"/>
      <c r="GHT20" s="403"/>
      <c r="GHU20" s="403" t="s">
        <v>99</v>
      </c>
      <c r="GHV20" s="403"/>
      <c r="GHW20" s="403"/>
      <c r="GHX20" s="403"/>
      <c r="GHY20" s="403"/>
      <c r="GHZ20" s="403"/>
      <c r="GIA20" s="403"/>
      <c r="GIB20" s="403"/>
      <c r="GIC20" s="403"/>
      <c r="GID20" s="403"/>
      <c r="GIE20" s="403"/>
      <c r="GIF20" s="403"/>
      <c r="GIG20" s="403"/>
      <c r="GIH20" s="403"/>
      <c r="GII20" s="403"/>
      <c r="GIJ20" s="403"/>
      <c r="GIK20" s="403"/>
      <c r="GIL20" s="403"/>
      <c r="GIM20" s="403"/>
      <c r="GIN20" s="403"/>
      <c r="GIO20" s="403"/>
      <c r="GIP20" s="403"/>
      <c r="GIQ20" s="403"/>
      <c r="GIR20" s="403"/>
      <c r="GIS20" s="403"/>
      <c r="GIT20" s="403"/>
      <c r="GIU20" s="403"/>
      <c r="GIV20" s="403"/>
      <c r="GIW20" s="403"/>
      <c r="GIX20" s="403"/>
      <c r="GIY20" s="403"/>
      <c r="GIZ20" s="403"/>
      <c r="GJA20" s="403" t="s">
        <v>99</v>
      </c>
      <c r="GJB20" s="403"/>
      <c r="GJC20" s="403"/>
      <c r="GJD20" s="403"/>
      <c r="GJE20" s="403"/>
      <c r="GJF20" s="403"/>
      <c r="GJG20" s="403"/>
      <c r="GJH20" s="403"/>
      <c r="GJI20" s="403"/>
      <c r="GJJ20" s="403"/>
      <c r="GJK20" s="403"/>
      <c r="GJL20" s="403"/>
      <c r="GJM20" s="403"/>
      <c r="GJN20" s="403"/>
      <c r="GJO20" s="403"/>
      <c r="GJP20" s="403"/>
      <c r="GJQ20" s="403"/>
      <c r="GJR20" s="403"/>
      <c r="GJS20" s="403"/>
      <c r="GJT20" s="403"/>
      <c r="GJU20" s="403"/>
      <c r="GJV20" s="403"/>
      <c r="GJW20" s="403"/>
      <c r="GJX20" s="403"/>
      <c r="GJY20" s="403"/>
      <c r="GJZ20" s="403"/>
      <c r="GKA20" s="403"/>
      <c r="GKB20" s="403"/>
      <c r="GKC20" s="403"/>
      <c r="GKD20" s="403"/>
      <c r="GKE20" s="403"/>
      <c r="GKF20" s="403"/>
      <c r="GKG20" s="403" t="s">
        <v>99</v>
      </c>
      <c r="GKH20" s="403"/>
      <c r="GKI20" s="403"/>
      <c r="GKJ20" s="403"/>
      <c r="GKK20" s="403"/>
      <c r="GKL20" s="403"/>
      <c r="GKM20" s="403"/>
      <c r="GKN20" s="403"/>
      <c r="GKO20" s="403"/>
      <c r="GKP20" s="403"/>
      <c r="GKQ20" s="403"/>
      <c r="GKR20" s="403"/>
      <c r="GKS20" s="403"/>
      <c r="GKT20" s="403"/>
      <c r="GKU20" s="403"/>
      <c r="GKV20" s="403"/>
      <c r="GKW20" s="403"/>
      <c r="GKX20" s="403"/>
      <c r="GKY20" s="403"/>
      <c r="GKZ20" s="403"/>
      <c r="GLA20" s="403"/>
      <c r="GLB20" s="403"/>
      <c r="GLC20" s="403"/>
      <c r="GLD20" s="403"/>
      <c r="GLE20" s="403"/>
      <c r="GLF20" s="403"/>
      <c r="GLG20" s="403"/>
      <c r="GLH20" s="403"/>
      <c r="GLI20" s="403"/>
      <c r="GLJ20" s="403"/>
      <c r="GLK20" s="403"/>
      <c r="GLL20" s="403"/>
      <c r="GLM20" s="403" t="s">
        <v>99</v>
      </c>
      <c r="GLN20" s="403"/>
      <c r="GLO20" s="403"/>
      <c r="GLP20" s="403"/>
      <c r="GLQ20" s="403"/>
      <c r="GLR20" s="403"/>
      <c r="GLS20" s="403"/>
      <c r="GLT20" s="403"/>
      <c r="GLU20" s="403"/>
      <c r="GLV20" s="403"/>
      <c r="GLW20" s="403"/>
      <c r="GLX20" s="403"/>
      <c r="GLY20" s="403"/>
      <c r="GLZ20" s="403"/>
      <c r="GMA20" s="403"/>
      <c r="GMB20" s="403"/>
      <c r="GMC20" s="403"/>
      <c r="GMD20" s="403"/>
      <c r="GME20" s="403"/>
      <c r="GMF20" s="403"/>
      <c r="GMG20" s="403"/>
      <c r="GMH20" s="403"/>
      <c r="GMI20" s="403"/>
      <c r="GMJ20" s="403"/>
      <c r="GMK20" s="403"/>
      <c r="GML20" s="403"/>
      <c r="GMM20" s="403"/>
      <c r="GMN20" s="403"/>
      <c r="GMO20" s="403"/>
      <c r="GMP20" s="403"/>
      <c r="GMQ20" s="403"/>
      <c r="GMR20" s="403"/>
      <c r="GMS20" s="403" t="s">
        <v>99</v>
      </c>
      <c r="GMT20" s="403"/>
      <c r="GMU20" s="403"/>
      <c r="GMV20" s="403"/>
      <c r="GMW20" s="403"/>
      <c r="GMX20" s="403"/>
      <c r="GMY20" s="403"/>
      <c r="GMZ20" s="403"/>
      <c r="GNA20" s="403"/>
      <c r="GNB20" s="403"/>
      <c r="GNC20" s="403"/>
      <c r="GND20" s="403"/>
      <c r="GNE20" s="403"/>
      <c r="GNF20" s="403"/>
      <c r="GNG20" s="403"/>
      <c r="GNH20" s="403"/>
      <c r="GNI20" s="403"/>
      <c r="GNJ20" s="403"/>
      <c r="GNK20" s="403"/>
      <c r="GNL20" s="403"/>
      <c r="GNM20" s="403"/>
      <c r="GNN20" s="403"/>
      <c r="GNO20" s="403"/>
      <c r="GNP20" s="403"/>
      <c r="GNQ20" s="403"/>
      <c r="GNR20" s="403"/>
      <c r="GNS20" s="403"/>
      <c r="GNT20" s="403"/>
      <c r="GNU20" s="403"/>
      <c r="GNV20" s="403"/>
      <c r="GNW20" s="403"/>
      <c r="GNX20" s="403"/>
      <c r="GNY20" s="403" t="s">
        <v>99</v>
      </c>
      <c r="GNZ20" s="403"/>
      <c r="GOA20" s="403"/>
      <c r="GOB20" s="403"/>
      <c r="GOC20" s="403"/>
      <c r="GOD20" s="403"/>
      <c r="GOE20" s="403"/>
      <c r="GOF20" s="403"/>
      <c r="GOG20" s="403"/>
      <c r="GOH20" s="403"/>
      <c r="GOI20" s="403"/>
      <c r="GOJ20" s="403"/>
      <c r="GOK20" s="403"/>
      <c r="GOL20" s="403"/>
      <c r="GOM20" s="403"/>
      <c r="GON20" s="403"/>
      <c r="GOO20" s="403"/>
      <c r="GOP20" s="403"/>
      <c r="GOQ20" s="403"/>
      <c r="GOR20" s="403"/>
      <c r="GOS20" s="403"/>
      <c r="GOT20" s="403"/>
      <c r="GOU20" s="403"/>
      <c r="GOV20" s="403"/>
      <c r="GOW20" s="403"/>
      <c r="GOX20" s="403"/>
      <c r="GOY20" s="403"/>
      <c r="GOZ20" s="403"/>
      <c r="GPA20" s="403"/>
      <c r="GPB20" s="403"/>
      <c r="GPC20" s="403"/>
      <c r="GPD20" s="403"/>
      <c r="GPE20" s="403" t="s">
        <v>99</v>
      </c>
      <c r="GPF20" s="403"/>
      <c r="GPG20" s="403"/>
      <c r="GPH20" s="403"/>
      <c r="GPI20" s="403"/>
      <c r="GPJ20" s="403"/>
      <c r="GPK20" s="403"/>
      <c r="GPL20" s="403"/>
      <c r="GPM20" s="403"/>
      <c r="GPN20" s="403"/>
      <c r="GPO20" s="403"/>
      <c r="GPP20" s="403"/>
      <c r="GPQ20" s="403"/>
      <c r="GPR20" s="403"/>
      <c r="GPS20" s="403"/>
      <c r="GPT20" s="403"/>
      <c r="GPU20" s="403"/>
      <c r="GPV20" s="403"/>
      <c r="GPW20" s="403"/>
      <c r="GPX20" s="403"/>
      <c r="GPY20" s="403"/>
      <c r="GPZ20" s="403"/>
      <c r="GQA20" s="403"/>
      <c r="GQB20" s="403"/>
      <c r="GQC20" s="403"/>
      <c r="GQD20" s="403"/>
      <c r="GQE20" s="403"/>
      <c r="GQF20" s="403"/>
      <c r="GQG20" s="403"/>
      <c r="GQH20" s="403"/>
      <c r="GQI20" s="403"/>
      <c r="GQJ20" s="403"/>
      <c r="GQK20" s="403" t="s">
        <v>99</v>
      </c>
      <c r="GQL20" s="403"/>
      <c r="GQM20" s="403"/>
      <c r="GQN20" s="403"/>
      <c r="GQO20" s="403"/>
      <c r="GQP20" s="403"/>
      <c r="GQQ20" s="403"/>
      <c r="GQR20" s="403"/>
      <c r="GQS20" s="403"/>
      <c r="GQT20" s="403"/>
      <c r="GQU20" s="403"/>
      <c r="GQV20" s="403"/>
      <c r="GQW20" s="403"/>
      <c r="GQX20" s="403"/>
      <c r="GQY20" s="403"/>
      <c r="GQZ20" s="403"/>
      <c r="GRA20" s="403"/>
      <c r="GRB20" s="403"/>
      <c r="GRC20" s="403"/>
      <c r="GRD20" s="403"/>
      <c r="GRE20" s="403"/>
      <c r="GRF20" s="403"/>
      <c r="GRG20" s="403"/>
      <c r="GRH20" s="403"/>
      <c r="GRI20" s="403"/>
      <c r="GRJ20" s="403"/>
      <c r="GRK20" s="403"/>
      <c r="GRL20" s="403"/>
      <c r="GRM20" s="403"/>
      <c r="GRN20" s="403"/>
      <c r="GRO20" s="403"/>
      <c r="GRP20" s="403"/>
      <c r="GRQ20" s="403" t="s">
        <v>99</v>
      </c>
      <c r="GRR20" s="403"/>
      <c r="GRS20" s="403"/>
      <c r="GRT20" s="403"/>
      <c r="GRU20" s="403"/>
      <c r="GRV20" s="403"/>
      <c r="GRW20" s="403"/>
      <c r="GRX20" s="403"/>
      <c r="GRY20" s="403"/>
      <c r="GRZ20" s="403"/>
      <c r="GSA20" s="403"/>
      <c r="GSB20" s="403"/>
      <c r="GSC20" s="403"/>
      <c r="GSD20" s="403"/>
      <c r="GSE20" s="403"/>
      <c r="GSF20" s="403"/>
      <c r="GSG20" s="403"/>
      <c r="GSH20" s="403"/>
      <c r="GSI20" s="403"/>
      <c r="GSJ20" s="403"/>
      <c r="GSK20" s="403"/>
      <c r="GSL20" s="403"/>
      <c r="GSM20" s="403"/>
      <c r="GSN20" s="403"/>
      <c r="GSO20" s="403"/>
      <c r="GSP20" s="403"/>
      <c r="GSQ20" s="403"/>
      <c r="GSR20" s="403"/>
      <c r="GSS20" s="403"/>
      <c r="GST20" s="403"/>
      <c r="GSU20" s="403"/>
      <c r="GSV20" s="403"/>
      <c r="GSW20" s="403" t="s">
        <v>99</v>
      </c>
      <c r="GSX20" s="403"/>
      <c r="GSY20" s="403"/>
      <c r="GSZ20" s="403"/>
      <c r="GTA20" s="403"/>
      <c r="GTB20" s="403"/>
      <c r="GTC20" s="403"/>
      <c r="GTD20" s="403"/>
      <c r="GTE20" s="403"/>
      <c r="GTF20" s="403"/>
      <c r="GTG20" s="403"/>
      <c r="GTH20" s="403"/>
      <c r="GTI20" s="403"/>
      <c r="GTJ20" s="403"/>
      <c r="GTK20" s="403"/>
      <c r="GTL20" s="403"/>
      <c r="GTM20" s="403"/>
      <c r="GTN20" s="403"/>
      <c r="GTO20" s="403"/>
      <c r="GTP20" s="403"/>
      <c r="GTQ20" s="403"/>
      <c r="GTR20" s="403"/>
      <c r="GTS20" s="403"/>
      <c r="GTT20" s="403"/>
      <c r="GTU20" s="403"/>
      <c r="GTV20" s="403"/>
      <c r="GTW20" s="403"/>
      <c r="GTX20" s="403"/>
      <c r="GTY20" s="403"/>
      <c r="GTZ20" s="403"/>
      <c r="GUA20" s="403"/>
      <c r="GUB20" s="403"/>
      <c r="GUC20" s="403" t="s">
        <v>99</v>
      </c>
      <c r="GUD20" s="403"/>
      <c r="GUE20" s="403"/>
      <c r="GUF20" s="403"/>
      <c r="GUG20" s="403"/>
      <c r="GUH20" s="403"/>
      <c r="GUI20" s="403"/>
      <c r="GUJ20" s="403"/>
      <c r="GUK20" s="403"/>
      <c r="GUL20" s="403"/>
      <c r="GUM20" s="403"/>
      <c r="GUN20" s="403"/>
      <c r="GUO20" s="403"/>
      <c r="GUP20" s="403"/>
      <c r="GUQ20" s="403"/>
      <c r="GUR20" s="403"/>
      <c r="GUS20" s="403"/>
      <c r="GUT20" s="403"/>
      <c r="GUU20" s="403"/>
      <c r="GUV20" s="403"/>
      <c r="GUW20" s="403"/>
      <c r="GUX20" s="403"/>
      <c r="GUY20" s="403"/>
      <c r="GUZ20" s="403"/>
      <c r="GVA20" s="403"/>
      <c r="GVB20" s="403"/>
      <c r="GVC20" s="403"/>
      <c r="GVD20" s="403"/>
      <c r="GVE20" s="403"/>
      <c r="GVF20" s="403"/>
      <c r="GVG20" s="403"/>
      <c r="GVH20" s="403"/>
      <c r="GVI20" s="403" t="s">
        <v>99</v>
      </c>
      <c r="GVJ20" s="403"/>
      <c r="GVK20" s="403"/>
      <c r="GVL20" s="403"/>
      <c r="GVM20" s="403"/>
      <c r="GVN20" s="403"/>
      <c r="GVO20" s="403"/>
      <c r="GVP20" s="403"/>
      <c r="GVQ20" s="403"/>
      <c r="GVR20" s="403"/>
      <c r="GVS20" s="403"/>
      <c r="GVT20" s="403"/>
      <c r="GVU20" s="403"/>
      <c r="GVV20" s="403"/>
      <c r="GVW20" s="403"/>
      <c r="GVX20" s="403"/>
      <c r="GVY20" s="403"/>
      <c r="GVZ20" s="403"/>
      <c r="GWA20" s="403"/>
      <c r="GWB20" s="403"/>
      <c r="GWC20" s="403"/>
      <c r="GWD20" s="403"/>
      <c r="GWE20" s="403"/>
      <c r="GWF20" s="403"/>
      <c r="GWG20" s="403"/>
      <c r="GWH20" s="403"/>
      <c r="GWI20" s="403"/>
      <c r="GWJ20" s="403"/>
      <c r="GWK20" s="403"/>
      <c r="GWL20" s="403"/>
      <c r="GWM20" s="403"/>
      <c r="GWN20" s="403"/>
      <c r="GWO20" s="403" t="s">
        <v>99</v>
      </c>
      <c r="GWP20" s="403"/>
      <c r="GWQ20" s="403"/>
      <c r="GWR20" s="403"/>
      <c r="GWS20" s="403"/>
      <c r="GWT20" s="403"/>
      <c r="GWU20" s="403"/>
      <c r="GWV20" s="403"/>
      <c r="GWW20" s="403"/>
      <c r="GWX20" s="403"/>
      <c r="GWY20" s="403"/>
      <c r="GWZ20" s="403"/>
      <c r="GXA20" s="403"/>
      <c r="GXB20" s="403"/>
      <c r="GXC20" s="403"/>
      <c r="GXD20" s="403"/>
      <c r="GXE20" s="403"/>
      <c r="GXF20" s="403"/>
      <c r="GXG20" s="403"/>
      <c r="GXH20" s="403"/>
      <c r="GXI20" s="403"/>
      <c r="GXJ20" s="403"/>
      <c r="GXK20" s="403"/>
      <c r="GXL20" s="403"/>
      <c r="GXM20" s="403"/>
      <c r="GXN20" s="403"/>
      <c r="GXO20" s="403"/>
      <c r="GXP20" s="403"/>
      <c r="GXQ20" s="403"/>
      <c r="GXR20" s="403"/>
      <c r="GXS20" s="403"/>
      <c r="GXT20" s="403"/>
      <c r="GXU20" s="403" t="s">
        <v>99</v>
      </c>
      <c r="GXV20" s="403"/>
      <c r="GXW20" s="403"/>
      <c r="GXX20" s="403"/>
      <c r="GXY20" s="403"/>
      <c r="GXZ20" s="403"/>
      <c r="GYA20" s="403"/>
      <c r="GYB20" s="403"/>
      <c r="GYC20" s="403"/>
      <c r="GYD20" s="403"/>
      <c r="GYE20" s="403"/>
      <c r="GYF20" s="403"/>
      <c r="GYG20" s="403"/>
      <c r="GYH20" s="403"/>
      <c r="GYI20" s="403"/>
      <c r="GYJ20" s="403"/>
      <c r="GYK20" s="403"/>
      <c r="GYL20" s="403"/>
      <c r="GYM20" s="403"/>
      <c r="GYN20" s="403"/>
      <c r="GYO20" s="403"/>
      <c r="GYP20" s="403"/>
      <c r="GYQ20" s="403"/>
      <c r="GYR20" s="403"/>
      <c r="GYS20" s="403"/>
      <c r="GYT20" s="403"/>
      <c r="GYU20" s="403"/>
      <c r="GYV20" s="403"/>
      <c r="GYW20" s="403"/>
      <c r="GYX20" s="403"/>
      <c r="GYY20" s="403"/>
      <c r="GYZ20" s="403"/>
      <c r="GZA20" s="403" t="s">
        <v>99</v>
      </c>
      <c r="GZB20" s="403"/>
      <c r="GZC20" s="403"/>
      <c r="GZD20" s="403"/>
      <c r="GZE20" s="403"/>
      <c r="GZF20" s="403"/>
      <c r="GZG20" s="403"/>
      <c r="GZH20" s="403"/>
      <c r="GZI20" s="403"/>
      <c r="GZJ20" s="403"/>
      <c r="GZK20" s="403"/>
      <c r="GZL20" s="403"/>
      <c r="GZM20" s="403"/>
      <c r="GZN20" s="403"/>
      <c r="GZO20" s="403"/>
      <c r="GZP20" s="403"/>
      <c r="GZQ20" s="403"/>
      <c r="GZR20" s="403"/>
      <c r="GZS20" s="403"/>
      <c r="GZT20" s="403"/>
      <c r="GZU20" s="403"/>
      <c r="GZV20" s="403"/>
      <c r="GZW20" s="403"/>
      <c r="GZX20" s="403"/>
      <c r="GZY20" s="403"/>
      <c r="GZZ20" s="403"/>
      <c r="HAA20" s="403"/>
      <c r="HAB20" s="403"/>
      <c r="HAC20" s="403"/>
      <c r="HAD20" s="403"/>
      <c r="HAE20" s="403"/>
      <c r="HAF20" s="403"/>
      <c r="HAG20" s="403" t="s">
        <v>99</v>
      </c>
      <c r="HAH20" s="403"/>
      <c r="HAI20" s="403"/>
      <c r="HAJ20" s="403"/>
      <c r="HAK20" s="403"/>
      <c r="HAL20" s="403"/>
      <c r="HAM20" s="403"/>
      <c r="HAN20" s="403"/>
      <c r="HAO20" s="403"/>
      <c r="HAP20" s="403"/>
      <c r="HAQ20" s="403"/>
      <c r="HAR20" s="403"/>
      <c r="HAS20" s="403"/>
      <c r="HAT20" s="403"/>
      <c r="HAU20" s="403"/>
      <c r="HAV20" s="403"/>
      <c r="HAW20" s="403"/>
      <c r="HAX20" s="403"/>
      <c r="HAY20" s="403"/>
      <c r="HAZ20" s="403"/>
      <c r="HBA20" s="403"/>
      <c r="HBB20" s="403"/>
      <c r="HBC20" s="403"/>
      <c r="HBD20" s="403"/>
      <c r="HBE20" s="403"/>
      <c r="HBF20" s="403"/>
      <c r="HBG20" s="403"/>
      <c r="HBH20" s="403"/>
      <c r="HBI20" s="403"/>
      <c r="HBJ20" s="403"/>
      <c r="HBK20" s="403"/>
      <c r="HBL20" s="403"/>
      <c r="HBM20" s="403" t="s">
        <v>99</v>
      </c>
      <c r="HBN20" s="403"/>
      <c r="HBO20" s="403"/>
      <c r="HBP20" s="403"/>
      <c r="HBQ20" s="403"/>
      <c r="HBR20" s="403"/>
      <c r="HBS20" s="403"/>
      <c r="HBT20" s="403"/>
      <c r="HBU20" s="403"/>
      <c r="HBV20" s="403"/>
      <c r="HBW20" s="403"/>
      <c r="HBX20" s="403"/>
      <c r="HBY20" s="403"/>
      <c r="HBZ20" s="403"/>
      <c r="HCA20" s="403"/>
      <c r="HCB20" s="403"/>
      <c r="HCC20" s="403"/>
      <c r="HCD20" s="403"/>
      <c r="HCE20" s="403"/>
      <c r="HCF20" s="403"/>
      <c r="HCG20" s="403"/>
      <c r="HCH20" s="403"/>
      <c r="HCI20" s="403"/>
      <c r="HCJ20" s="403"/>
      <c r="HCK20" s="403"/>
      <c r="HCL20" s="403"/>
      <c r="HCM20" s="403"/>
      <c r="HCN20" s="403"/>
      <c r="HCO20" s="403"/>
      <c r="HCP20" s="403"/>
      <c r="HCQ20" s="403"/>
      <c r="HCR20" s="403"/>
      <c r="HCS20" s="403" t="s">
        <v>99</v>
      </c>
      <c r="HCT20" s="403"/>
      <c r="HCU20" s="403"/>
      <c r="HCV20" s="403"/>
      <c r="HCW20" s="403"/>
      <c r="HCX20" s="403"/>
      <c r="HCY20" s="403"/>
      <c r="HCZ20" s="403"/>
      <c r="HDA20" s="403"/>
      <c r="HDB20" s="403"/>
      <c r="HDC20" s="403"/>
      <c r="HDD20" s="403"/>
      <c r="HDE20" s="403"/>
      <c r="HDF20" s="403"/>
      <c r="HDG20" s="403"/>
      <c r="HDH20" s="403"/>
      <c r="HDI20" s="403"/>
      <c r="HDJ20" s="403"/>
      <c r="HDK20" s="403"/>
      <c r="HDL20" s="403"/>
      <c r="HDM20" s="403"/>
      <c r="HDN20" s="403"/>
      <c r="HDO20" s="403"/>
      <c r="HDP20" s="403"/>
      <c r="HDQ20" s="403"/>
      <c r="HDR20" s="403"/>
      <c r="HDS20" s="403"/>
      <c r="HDT20" s="403"/>
      <c r="HDU20" s="403"/>
      <c r="HDV20" s="403"/>
      <c r="HDW20" s="403"/>
      <c r="HDX20" s="403"/>
      <c r="HDY20" s="403" t="s">
        <v>99</v>
      </c>
      <c r="HDZ20" s="403"/>
      <c r="HEA20" s="403"/>
      <c r="HEB20" s="403"/>
      <c r="HEC20" s="403"/>
      <c r="HED20" s="403"/>
      <c r="HEE20" s="403"/>
      <c r="HEF20" s="403"/>
      <c r="HEG20" s="403"/>
      <c r="HEH20" s="403"/>
      <c r="HEI20" s="403"/>
      <c r="HEJ20" s="403"/>
      <c r="HEK20" s="403"/>
      <c r="HEL20" s="403"/>
      <c r="HEM20" s="403"/>
      <c r="HEN20" s="403"/>
      <c r="HEO20" s="403"/>
      <c r="HEP20" s="403"/>
      <c r="HEQ20" s="403"/>
      <c r="HER20" s="403"/>
      <c r="HES20" s="403"/>
      <c r="HET20" s="403"/>
      <c r="HEU20" s="403"/>
      <c r="HEV20" s="403"/>
      <c r="HEW20" s="403"/>
      <c r="HEX20" s="403"/>
      <c r="HEY20" s="403"/>
      <c r="HEZ20" s="403"/>
      <c r="HFA20" s="403"/>
      <c r="HFB20" s="403"/>
      <c r="HFC20" s="403"/>
      <c r="HFD20" s="403"/>
      <c r="HFE20" s="403" t="s">
        <v>99</v>
      </c>
      <c r="HFF20" s="403"/>
      <c r="HFG20" s="403"/>
      <c r="HFH20" s="403"/>
      <c r="HFI20" s="403"/>
      <c r="HFJ20" s="403"/>
      <c r="HFK20" s="403"/>
      <c r="HFL20" s="403"/>
      <c r="HFM20" s="403"/>
      <c r="HFN20" s="403"/>
      <c r="HFO20" s="403"/>
      <c r="HFP20" s="403"/>
      <c r="HFQ20" s="403"/>
      <c r="HFR20" s="403"/>
      <c r="HFS20" s="403"/>
      <c r="HFT20" s="403"/>
      <c r="HFU20" s="403"/>
      <c r="HFV20" s="403"/>
      <c r="HFW20" s="403"/>
      <c r="HFX20" s="403"/>
      <c r="HFY20" s="403"/>
      <c r="HFZ20" s="403"/>
      <c r="HGA20" s="403"/>
      <c r="HGB20" s="403"/>
      <c r="HGC20" s="403"/>
      <c r="HGD20" s="403"/>
      <c r="HGE20" s="403"/>
      <c r="HGF20" s="403"/>
      <c r="HGG20" s="403"/>
      <c r="HGH20" s="403"/>
      <c r="HGI20" s="403"/>
      <c r="HGJ20" s="403"/>
      <c r="HGK20" s="403" t="s">
        <v>99</v>
      </c>
      <c r="HGL20" s="403"/>
      <c r="HGM20" s="403"/>
      <c r="HGN20" s="403"/>
      <c r="HGO20" s="403"/>
      <c r="HGP20" s="403"/>
      <c r="HGQ20" s="403"/>
      <c r="HGR20" s="403"/>
      <c r="HGS20" s="403"/>
      <c r="HGT20" s="403"/>
      <c r="HGU20" s="403"/>
      <c r="HGV20" s="403"/>
      <c r="HGW20" s="403"/>
      <c r="HGX20" s="403"/>
      <c r="HGY20" s="403"/>
      <c r="HGZ20" s="403"/>
      <c r="HHA20" s="403"/>
      <c r="HHB20" s="403"/>
      <c r="HHC20" s="403"/>
      <c r="HHD20" s="403"/>
      <c r="HHE20" s="403"/>
      <c r="HHF20" s="403"/>
      <c r="HHG20" s="403"/>
      <c r="HHH20" s="403"/>
      <c r="HHI20" s="403"/>
      <c r="HHJ20" s="403"/>
      <c r="HHK20" s="403"/>
      <c r="HHL20" s="403"/>
      <c r="HHM20" s="403"/>
      <c r="HHN20" s="403"/>
      <c r="HHO20" s="403"/>
      <c r="HHP20" s="403"/>
      <c r="HHQ20" s="403" t="s">
        <v>99</v>
      </c>
      <c r="HHR20" s="403"/>
      <c r="HHS20" s="403"/>
      <c r="HHT20" s="403"/>
      <c r="HHU20" s="403"/>
      <c r="HHV20" s="403"/>
      <c r="HHW20" s="403"/>
      <c r="HHX20" s="403"/>
      <c r="HHY20" s="403"/>
      <c r="HHZ20" s="403"/>
      <c r="HIA20" s="403"/>
      <c r="HIB20" s="403"/>
      <c r="HIC20" s="403"/>
      <c r="HID20" s="403"/>
      <c r="HIE20" s="403"/>
      <c r="HIF20" s="403"/>
      <c r="HIG20" s="403"/>
      <c r="HIH20" s="403"/>
      <c r="HII20" s="403"/>
      <c r="HIJ20" s="403"/>
      <c r="HIK20" s="403"/>
      <c r="HIL20" s="403"/>
      <c r="HIM20" s="403"/>
      <c r="HIN20" s="403"/>
      <c r="HIO20" s="403"/>
      <c r="HIP20" s="403"/>
      <c r="HIQ20" s="403"/>
      <c r="HIR20" s="403"/>
      <c r="HIS20" s="403"/>
      <c r="HIT20" s="403"/>
      <c r="HIU20" s="403"/>
      <c r="HIV20" s="403"/>
      <c r="HIW20" s="403" t="s">
        <v>99</v>
      </c>
      <c r="HIX20" s="403"/>
      <c r="HIY20" s="403"/>
      <c r="HIZ20" s="403"/>
      <c r="HJA20" s="403"/>
      <c r="HJB20" s="403"/>
      <c r="HJC20" s="403"/>
      <c r="HJD20" s="403"/>
      <c r="HJE20" s="403"/>
      <c r="HJF20" s="403"/>
      <c r="HJG20" s="403"/>
      <c r="HJH20" s="403"/>
      <c r="HJI20" s="403"/>
      <c r="HJJ20" s="403"/>
      <c r="HJK20" s="403"/>
      <c r="HJL20" s="403"/>
      <c r="HJM20" s="403"/>
      <c r="HJN20" s="403"/>
      <c r="HJO20" s="403"/>
      <c r="HJP20" s="403"/>
      <c r="HJQ20" s="403"/>
      <c r="HJR20" s="403"/>
      <c r="HJS20" s="403"/>
      <c r="HJT20" s="403"/>
      <c r="HJU20" s="403"/>
      <c r="HJV20" s="403"/>
      <c r="HJW20" s="403"/>
      <c r="HJX20" s="403"/>
      <c r="HJY20" s="403"/>
      <c r="HJZ20" s="403"/>
      <c r="HKA20" s="403"/>
      <c r="HKB20" s="403"/>
      <c r="HKC20" s="403" t="s">
        <v>99</v>
      </c>
      <c r="HKD20" s="403"/>
      <c r="HKE20" s="403"/>
      <c r="HKF20" s="403"/>
      <c r="HKG20" s="403"/>
      <c r="HKH20" s="403"/>
      <c r="HKI20" s="403"/>
      <c r="HKJ20" s="403"/>
      <c r="HKK20" s="403"/>
      <c r="HKL20" s="403"/>
      <c r="HKM20" s="403"/>
      <c r="HKN20" s="403"/>
      <c r="HKO20" s="403"/>
      <c r="HKP20" s="403"/>
      <c r="HKQ20" s="403"/>
      <c r="HKR20" s="403"/>
      <c r="HKS20" s="403"/>
      <c r="HKT20" s="403"/>
      <c r="HKU20" s="403"/>
      <c r="HKV20" s="403"/>
      <c r="HKW20" s="403"/>
      <c r="HKX20" s="403"/>
      <c r="HKY20" s="403"/>
      <c r="HKZ20" s="403"/>
      <c r="HLA20" s="403"/>
      <c r="HLB20" s="403"/>
      <c r="HLC20" s="403"/>
      <c r="HLD20" s="403"/>
      <c r="HLE20" s="403"/>
      <c r="HLF20" s="403"/>
      <c r="HLG20" s="403"/>
      <c r="HLH20" s="403"/>
      <c r="HLI20" s="403" t="s">
        <v>99</v>
      </c>
      <c r="HLJ20" s="403"/>
      <c r="HLK20" s="403"/>
      <c r="HLL20" s="403"/>
      <c r="HLM20" s="403"/>
      <c r="HLN20" s="403"/>
      <c r="HLO20" s="403"/>
      <c r="HLP20" s="403"/>
      <c r="HLQ20" s="403"/>
      <c r="HLR20" s="403"/>
      <c r="HLS20" s="403"/>
      <c r="HLT20" s="403"/>
      <c r="HLU20" s="403"/>
      <c r="HLV20" s="403"/>
      <c r="HLW20" s="403"/>
      <c r="HLX20" s="403"/>
      <c r="HLY20" s="403"/>
      <c r="HLZ20" s="403"/>
      <c r="HMA20" s="403"/>
      <c r="HMB20" s="403"/>
      <c r="HMC20" s="403"/>
      <c r="HMD20" s="403"/>
      <c r="HME20" s="403"/>
      <c r="HMF20" s="403"/>
      <c r="HMG20" s="403"/>
      <c r="HMH20" s="403"/>
      <c r="HMI20" s="403"/>
      <c r="HMJ20" s="403"/>
      <c r="HMK20" s="403"/>
      <c r="HML20" s="403"/>
      <c r="HMM20" s="403"/>
      <c r="HMN20" s="403"/>
      <c r="HMO20" s="403" t="s">
        <v>99</v>
      </c>
      <c r="HMP20" s="403"/>
      <c r="HMQ20" s="403"/>
      <c r="HMR20" s="403"/>
      <c r="HMS20" s="403"/>
      <c r="HMT20" s="403"/>
      <c r="HMU20" s="403"/>
      <c r="HMV20" s="403"/>
      <c r="HMW20" s="403"/>
      <c r="HMX20" s="403"/>
      <c r="HMY20" s="403"/>
      <c r="HMZ20" s="403"/>
      <c r="HNA20" s="403"/>
      <c r="HNB20" s="403"/>
      <c r="HNC20" s="403"/>
      <c r="HND20" s="403"/>
      <c r="HNE20" s="403"/>
      <c r="HNF20" s="403"/>
      <c r="HNG20" s="403"/>
      <c r="HNH20" s="403"/>
      <c r="HNI20" s="403"/>
      <c r="HNJ20" s="403"/>
      <c r="HNK20" s="403"/>
      <c r="HNL20" s="403"/>
      <c r="HNM20" s="403"/>
      <c r="HNN20" s="403"/>
      <c r="HNO20" s="403"/>
      <c r="HNP20" s="403"/>
      <c r="HNQ20" s="403"/>
      <c r="HNR20" s="403"/>
      <c r="HNS20" s="403"/>
      <c r="HNT20" s="403"/>
      <c r="HNU20" s="403" t="s">
        <v>99</v>
      </c>
      <c r="HNV20" s="403"/>
      <c r="HNW20" s="403"/>
      <c r="HNX20" s="403"/>
      <c r="HNY20" s="403"/>
      <c r="HNZ20" s="403"/>
      <c r="HOA20" s="403"/>
      <c r="HOB20" s="403"/>
      <c r="HOC20" s="403"/>
      <c r="HOD20" s="403"/>
      <c r="HOE20" s="403"/>
      <c r="HOF20" s="403"/>
      <c r="HOG20" s="403"/>
      <c r="HOH20" s="403"/>
      <c r="HOI20" s="403"/>
      <c r="HOJ20" s="403"/>
      <c r="HOK20" s="403"/>
      <c r="HOL20" s="403"/>
      <c r="HOM20" s="403"/>
      <c r="HON20" s="403"/>
      <c r="HOO20" s="403"/>
      <c r="HOP20" s="403"/>
      <c r="HOQ20" s="403"/>
      <c r="HOR20" s="403"/>
      <c r="HOS20" s="403"/>
      <c r="HOT20" s="403"/>
      <c r="HOU20" s="403"/>
      <c r="HOV20" s="403"/>
      <c r="HOW20" s="403"/>
      <c r="HOX20" s="403"/>
      <c r="HOY20" s="403"/>
      <c r="HOZ20" s="403"/>
      <c r="HPA20" s="403" t="s">
        <v>99</v>
      </c>
      <c r="HPB20" s="403"/>
      <c r="HPC20" s="403"/>
      <c r="HPD20" s="403"/>
      <c r="HPE20" s="403"/>
      <c r="HPF20" s="403"/>
      <c r="HPG20" s="403"/>
      <c r="HPH20" s="403"/>
      <c r="HPI20" s="403"/>
      <c r="HPJ20" s="403"/>
      <c r="HPK20" s="403"/>
      <c r="HPL20" s="403"/>
      <c r="HPM20" s="403"/>
      <c r="HPN20" s="403"/>
      <c r="HPO20" s="403"/>
      <c r="HPP20" s="403"/>
      <c r="HPQ20" s="403"/>
      <c r="HPR20" s="403"/>
      <c r="HPS20" s="403"/>
      <c r="HPT20" s="403"/>
      <c r="HPU20" s="403"/>
      <c r="HPV20" s="403"/>
      <c r="HPW20" s="403"/>
      <c r="HPX20" s="403"/>
      <c r="HPY20" s="403"/>
      <c r="HPZ20" s="403"/>
      <c r="HQA20" s="403"/>
      <c r="HQB20" s="403"/>
      <c r="HQC20" s="403"/>
      <c r="HQD20" s="403"/>
      <c r="HQE20" s="403"/>
      <c r="HQF20" s="403"/>
      <c r="HQG20" s="403" t="s">
        <v>99</v>
      </c>
      <c r="HQH20" s="403"/>
      <c r="HQI20" s="403"/>
      <c r="HQJ20" s="403"/>
      <c r="HQK20" s="403"/>
      <c r="HQL20" s="403"/>
      <c r="HQM20" s="403"/>
      <c r="HQN20" s="403"/>
      <c r="HQO20" s="403"/>
      <c r="HQP20" s="403"/>
      <c r="HQQ20" s="403"/>
      <c r="HQR20" s="403"/>
      <c r="HQS20" s="403"/>
      <c r="HQT20" s="403"/>
      <c r="HQU20" s="403"/>
      <c r="HQV20" s="403"/>
      <c r="HQW20" s="403"/>
      <c r="HQX20" s="403"/>
      <c r="HQY20" s="403"/>
      <c r="HQZ20" s="403"/>
      <c r="HRA20" s="403"/>
      <c r="HRB20" s="403"/>
      <c r="HRC20" s="403"/>
      <c r="HRD20" s="403"/>
      <c r="HRE20" s="403"/>
      <c r="HRF20" s="403"/>
      <c r="HRG20" s="403"/>
      <c r="HRH20" s="403"/>
      <c r="HRI20" s="403"/>
      <c r="HRJ20" s="403"/>
      <c r="HRK20" s="403"/>
      <c r="HRL20" s="403"/>
      <c r="HRM20" s="403" t="s">
        <v>99</v>
      </c>
      <c r="HRN20" s="403"/>
      <c r="HRO20" s="403"/>
      <c r="HRP20" s="403"/>
      <c r="HRQ20" s="403"/>
      <c r="HRR20" s="403"/>
      <c r="HRS20" s="403"/>
      <c r="HRT20" s="403"/>
      <c r="HRU20" s="403"/>
      <c r="HRV20" s="403"/>
      <c r="HRW20" s="403"/>
      <c r="HRX20" s="403"/>
      <c r="HRY20" s="403"/>
      <c r="HRZ20" s="403"/>
      <c r="HSA20" s="403"/>
      <c r="HSB20" s="403"/>
      <c r="HSC20" s="403"/>
      <c r="HSD20" s="403"/>
      <c r="HSE20" s="403"/>
      <c r="HSF20" s="403"/>
      <c r="HSG20" s="403"/>
      <c r="HSH20" s="403"/>
      <c r="HSI20" s="403"/>
      <c r="HSJ20" s="403"/>
      <c r="HSK20" s="403"/>
      <c r="HSL20" s="403"/>
      <c r="HSM20" s="403"/>
      <c r="HSN20" s="403"/>
      <c r="HSO20" s="403"/>
      <c r="HSP20" s="403"/>
      <c r="HSQ20" s="403"/>
      <c r="HSR20" s="403"/>
      <c r="HSS20" s="403" t="s">
        <v>99</v>
      </c>
      <c r="HST20" s="403"/>
      <c r="HSU20" s="403"/>
      <c r="HSV20" s="403"/>
      <c r="HSW20" s="403"/>
      <c r="HSX20" s="403"/>
      <c r="HSY20" s="403"/>
      <c r="HSZ20" s="403"/>
      <c r="HTA20" s="403"/>
      <c r="HTB20" s="403"/>
      <c r="HTC20" s="403"/>
      <c r="HTD20" s="403"/>
      <c r="HTE20" s="403"/>
      <c r="HTF20" s="403"/>
      <c r="HTG20" s="403"/>
      <c r="HTH20" s="403"/>
      <c r="HTI20" s="403"/>
      <c r="HTJ20" s="403"/>
      <c r="HTK20" s="403"/>
      <c r="HTL20" s="403"/>
      <c r="HTM20" s="403"/>
      <c r="HTN20" s="403"/>
      <c r="HTO20" s="403"/>
      <c r="HTP20" s="403"/>
      <c r="HTQ20" s="403"/>
      <c r="HTR20" s="403"/>
      <c r="HTS20" s="403"/>
      <c r="HTT20" s="403"/>
      <c r="HTU20" s="403"/>
      <c r="HTV20" s="403"/>
      <c r="HTW20" s="403"/>
      <c r="HTX20" s="403"/>
      <c r="HTY20" s="403" t="s">
        <v>99</v>
      </c>
      <c r="HTZ20" s="403"/>
      <c r="HUA20" s="403"/>
      <c r="HUB20" s="403"/>
      <c r="HUC20" s="403"/>
      <c r="HUD20" s="403"/>
      <c r="HUE20" s="403"/>
      <c r="HUF20" s="403"/>
      <c r="HUG20" s="403"/>
      <c r="HUH20" s="403"/>
      <c r="HUI20" s="403"/>
      <c r="HUJ20" s="403"/>
      <c r="HUK20" s="403"/>
      <c r="HUL20" s="403"/>
      <c r="HUM20" s="403"/>
      <c r="HUN20" s="403"/>
      <c r="HUO20" s="403"/>
      <c r="HUP20" s="403"/>
      <c r="HUQ20" s="403"/>
      <c r="HUR20" s="403"/>
      <c r="HUS20" s="403"/>
      <c r="HUT20" s="403"/>
      <c r="HUU20" s="403"/>
      <c r="HUV20" s="403"/>
      <c r="HUW20" s="403"/>
      <c r="HUX20" s="403"/>
      <c r="HUY20" s="403"/>
      <c r="HUZ20" s="403"/>
      <c r="HVA20" s="403"/>
      <c r="HVB20" s="403"/>
      <c r="HVC20" s="403"/>
      <c r="HVD20" s="403"/>
      <c r="HVE20" s="403" t="s">
        <v>99</v>
      </c>
      <c r="HVF20" s="403"/>
      <c r="HVG20" s="403"/>
      <c r="HVH20" s="403"/>
      <c r="HVI20" s="403"/>
      <c r="HVJ20" s="403"/>
      <c r="HVK20" s="403"/>
      <c r="HVL20" s="403"/>
      <c r="HVM20" s="403"/>
      <c r="HVN20" s="403"/>
      <c r="HVO20" s="403"/>
      <c r="HVP20" s="403"/>
      <c r="HVQ20" s="403"/>
      <c r="HVR20" s="403"/>
      <c r="HVS20" s="403"/>
      <c r="HVT20" s="403"/>
      <c r="HVU20" s="403"/>
      <c r="HVV20" s="403"/>
      <c r="HVW20" s="403"/>
      <c r="HVX20" s="403"/>
      <c r="HVY20" s="403"/>
      <c r="HVZ20" s="403"/>
      <c r="HWA20" s="403"/>
      <c r="HWB20" s="403"/>
      <c r="HWC20" s="403"/>
      <c r="HWD20" s="403"/>
      <c r="HWE20" s="403"/>
      <c r="HWF20" s="403"/>
      <c r="HWG20" s="403"/>
      <c r="HWH20" s="403"/>
      <c r="HWI20" s="403"/>
      <c r="HWJ20" s="403"/>
      <c r="HWK20" s="403" t="s">
        <v>99</v>
      </c>
      <c r="HWL20" s="403"/>
      <c r="HWM20" s="403"/>
      <c r="HWN20" s="403"/>
      <c r="HWO20" s="403"/>
      <c r="HWP20" s="403"/>
      <c r="HWQ20" s="403"/>
      <c r="HWR20" s="403"/>
      <c r="HWS20" s="403"/>
      <c r="HWT20" s="403"/>
      <c r="HWU20" s="403"/>
      <c r="HWV20" s="403"/>
      <c r="HWW20" s="403"/>
      <c r="HWX20" s="403"/>
      <c r="HWY20" s="403"/>
      <c r="HWZ20" s="403"/>
      <c r="HXA20" s="403"/>
      <c r="HXB20" s="403"/>
      <c r="HXC20" s="403"/>
      <c r="HXD20" s="403"/>
      <c r="HXE20" s="403"/>
      <c r="HXF20" s="403"/>
      <c r="HXG20" s="403"/>
      <c r="HXH20" s="403"/>
      <c r="HXI20" s="403"/>
      <c r="HXJ20" s="403"/>
      <c r="HXK20" s="403"/>
      <c r="HXL20" s="403"/>
      <c r="HXM20" s="403"/>
      <c r="HXN20" s="403"/>
      <c r="HXO20" s="403"/>
      <c r="HXP20" s="403"/>
      <c r="HXQ20" s="403" t="s">
        <v>99</v>
      </c>
      <c r="HXR20" s="403"/>
      <c r="HXS20" s="403"/>
      <c r="HXT20" s="403"/>
      <c r="HXU20" s="403"/>
      <c r="HXV20" s="403"/>
      <c r="HXW20" s="403"/>
      <c r="HXX20" s="403"/>
      <c r="HXY20" s="403"/>
      <c r="HXZ20" s="403"/>
      <c r="HYA20" s="403"/>
      <c r="HYB20" s="403"/>
      <c r="HYC20" s="403"/>
      <c r="HYD20" s="403"/>
      <c r="HYE20" s="403"/>
      <c r="HYF20" s="403"/>
      <c r="HYG20" s="403"/>
      <c r="HYH20" s="403"/>
      <c r="HYI20" s="403"/>
      <c r="HYJ20" s="403"/>
      <c r="HYK20" s="403"/>
      <c r="HYL20" s="403"/>
      <c r="HYM20" s="403"/>
      <c r="HYN20" s="403"/>
      <c r="HYO20" s="403"/>
      <c r="HYP20" s="403"/>
      <c r="HYQ20" s="403"/>
      <c r="HYR20" s="403"/>
      <c r="HYS20" s="403"/>
      <c r="HYT20" s="403"/>
      <c r="HYU20" s="403"/>
      <c r="HYV20" s="403"/>
      <c r="HYW20" s="403" t="s">
        <v>99</v>
      </c>
      <c r="HYX20" s="403"/>
      <c r="HYY20" s="403"/>
      <c r="HYZ20" s="403"/>
      <c r="HZA20" s="403"/>
      <c r="HZB20" s="403"/>
      <c r="HZC20" s="403"/>
      <c r="HZD20" s="403"/>
      <c r="HZE20" s="403"/>
      <c r="HZF20" s="403"/>
      <c r="HZG20" s="403"/>
      <c r="HZH20" s="403"/>
      <c r="HZI20" s="403"/>
      <c r="HZJ20" s="403"/>
      <c r="HZK20" s="403"/>
      <c r="HZL20" s="403"/>
      <c r="HZM20" s="403"/>
      <c r="HZN20" s="403"/>
      <c r="HZO20" s="403"/>
      <c r="HZP20" s="403"/>
      <c r="HZQ20" s="403"/>
      <c r="HZR20" s="403"/>
      <c r="HZS20" s="403"/>
      <c r="HZT20" s="403"/>
      <c r="HZU20" s="403"/>
      <c r="HZV20" s="403"/>
      <c r="HZW20" s="403"/>
      <c r="HZX20" s="403"/>
      <c r="HZY20" s="403"/>
      <c r="HZZ20" s="403"/>
      <c r="IAA20" s="403"/>
      <c r="IAB20" s="403"/>
      <c r="IAC20" s="403" t="s">
        <v>99</v>
      </c>
      <c r="IAD20" s="403"/>
      <c r="IAE20" s="403"/>
      <c r="IAF20" s="403"/>
      <c r="IAG20" s="403"/>
      <c r="IAH20" s="403"/>
      <c r="IAI20" s="403"/>
      <c r="IAJ20" s="403"/>
      <c r="IAK20" s="403"/>
      <c r="IAL20" s="403"/>
      <c r="IAM20" s="403"/>
      <c r="IAN20" s="403"/>
      <c r="IAO20" s="403"/>
      <c r="IAP20" s="403"/>
      <c r="IAQ20" s="403"/>
      <c r="IAR20" s="403"/>
      <c r="IAS20" s="403"/>
      <c r="IAT20" s="403"/>
      <c r="IAU20" s="403"/>
      <c r="IAV20" s="403"/>
      <c r="IAW20" s="403"/>
      <c r="IAX20" s="403"/>
      <c r="IAY20" s="403"/>
      <c r="IAZ20" s="403"/>
      <c r="IBA20" s="403"/>
      <c r="IBB20" s="403"/>
      <c r="IBC20" s="403"/>
      <c r="IBD20" s="403"/>
      <c r="IBE20" s="403"/>
      <c r="IBF20" s="403"/>
      <c r="IBG20" s="403"/>
      <c r="IBH20" s="403"/>
      <c r="IBI20" s="403" t="s">
        <v>99</v>
      </c>
      <c r="IBJ20" s="403"/>
      <c r="IBK20" s="403"/>
      <c r="IBL20" s="403"/>
      <c r="IBM20" s="403"/>
      <c r="IBN20" s="403"/>
      <c r="IBO20" s="403"/>
      <c r="IBP20" s="403"/>
      <c r="IBQ20" s="403"/>
      <c r="IBR20" s="403"/>
      <c r="IBS20" s="403"/>
      <c r="IBT20" s="403"/>
      <c r="IBU20" s="403"/>
      <c r="IBV20" s="403"/>
      <c r="IBW20" s="403"/>
      <c r="IBX20" s="403"/>
      <c r="IBY20" s="403"/>
      <c r="IBZ20" s="403"/>
      <c r="ICA20" s="403"/>
      <c r="ICB20" s="403"/>
      <c r="ICC20" s="403"/>
      <c r="ICD20" s="403"/>
      <c r="ICE20" s="403"/>
      <c r="ICF20" s="403"/>
      <c r="ICG20" s="403"/>
      <c r="ICH20" s="403"/>
      <c r="ICI20" s="403"/>
      <c r="ICJ20" s="403"/>
      <c r="ICK20" s="403"/>
      <c r="ICL20" s="403"/>
      <c r="ICM20" s="403"/>
      <c r="ICN20" s="403"/>
      <c r="ICO20" s="403" t="s">
        <v>99</v>
      </c>
      <c r="ICP20" s="403"/>
      <c r="ICQ20" s="403"/>
      <c r="ICR20" s="403"/>
      <c r="ICS20" s="403"/>
      <c r="ICT20" s="403"/>
      <c r="ICU20" s="403"/>
      <c r="ICV20" s="403"/>
      <c r="ICW20" s="403"/>
      <c r="ICX20" s="403"/>
      <c r="ICY20" s="403"/>
      <c r="ICZ20" s="403"/>
      <c r="IDA20" s="403"/>
      <c r="IDB20" s="403"/>
      <c r="IDC20" s="403"/>
      <c r="IDD20" s="403"/>
      <c r="IDE20" s="403"/>
      <c r="IDF20" s="403"/>
      <c r="IDG20" s="403"/>
      <c r="IDH20" s="403"/>
      <c r="IDI20" s="403"/>
      <c r="IDJ20" s="403"/>
      <c r="IDK20" s="403"/>
      <c r="IDL20" s="403"/>
      <c r="IDM20" s="403"/>
      <c r="IDN20" s="403"/>
      <c r="IDO20" s="403"/>
      <c r="IDP20" s="403"/>
      <c r="IDQ20" s="403"/>
      <c r="IDR20" s="403"/>
      <c r="IDS20" s="403"/>
      <c r="IDT20" s="403"/>
      <c r="IDU20" s="403" t="s">
        <v>99</v>
      </c>
      <c r="IDV20" s="403"/>
      <c r="IDW20" s="403"/>
      <c r="IDX20" s="403"/>
      <c r="IDY20" s="403"/>
      <c r="IDZ20" s="403"/>
      <c r="IEA20" s="403"/>
      <c r="IEB20" s="403"/>
      <c r="IEC20" s="403"/>
      <c r="IED20" s="403"/>
      <c r="IEE20" s="403"/>
      <c r="IEF20" s="403"/>
      <c r="IEG20" s="403"/>
      <c r="IEH20" s="403"/>
      <c r="IEI20" s="403"/>
      <c r="IEJ20" s="403"/>
      <c r="IEK20" s="403"/>
      <c r="IEL20" s="403"/>
      <c r="IEM20" s="403"/>
      <c r="IEN20" s="403"/>
      <c r="IEO20" s="403"/>
      <c r="IEP20" s="403"/>
      <c r="IEQ20" s="403"/>
      <c r="IER20" s="403"/>
      <c r="IES20" s="403"/>
      <c r="IET20" s="403"/>
      <c r="IEU20" s="403"/>
      <c r="IEV20" s="403"/>
      <c r="IEW20" s="403"/>
      <c r="IEX20" s="403"/>
      <c r="IEY20" s="403"/>
      <c r="IEZ20" s="403"/>
      <c r="IFA20" s="403" t="s">
        <v>99</v>
      </c>
      <c r="IFB20" s="403"/>
      <c r="IFC20" s="403"/>
      <c r="IFD20" s="403"/>
      <c r="IFE20" s="403"/>
      <c r="IFF20" s="403"/>
      <c r="IFG20" s="403"/>
      <c r="IFH20" s="403"/>
      <c r="IFI20" s="403"/>
      <c r="IFJ20" s="403"/>
      <c r="IFK20" s="403"/>
      <c r="IFL20" s="403"/>
      <c r="IFM20" s="403"/>
      <c r="IFN20" s="403"/>
      <c r="IFO20" s="403"/>
      <c r="IFP20" s="403"/>
      <c r="IFQ20" s="403"/>
      <c r="IFR20" s="403"/>
      <c r="IFS20" s="403"/>
      <c r="IFT20" s="403"/>
      <c r="IFU20" s="403"/>
      <c r="IFV20" s="403"/>
      <c r="IFW20" s="403"/>
      <c r="IFX20" s="403"/>
      <c r="IFY20" s="403"/>
      <c r="IFZ20" s="403"/>
      <c r="IGA20" s="403"/>
      <c r="IGB20" s="403"/>
      <c r="IGC20" s="403"/>
      <c r="IGD20" s="403"/>
      <c r="IGE20" s="403"/>
      <c r="IGF20" s="403"/>
      <c r="IGG20" s="403" t="s">
        <v>99</v>
      </c>
      <c r="IGH20" s="403"/>
      <c r="IGI20" s="403"/>
      <c r="IGJ20" s="403"/>
      <c r="IGK20" s="403"/>
      <c r="IGL20" s="403"/>
      <c r="IGM20" s="403"/>
      <c r="IGN20" s="403"/>
      <c r="IGO20" s="403"/>
      <c r="IGP20" s="403"/>
      <c r="IGQ20" s="403"/>
      <c r="IGR20" s="403"/>
      <c r="IGS20" s="403"/>
      <c r="IGT20" s="403"/>
      <c r="IGU20" s="403"/>
      <c r="IGV20" s="403"/>
      <c r="IGW20" s="403"/>
      <c r="IGX20" s="403"/>
      <c r="IGY20" s="403"/>
      <c r="IGZ20" s="403"/>
      <c r="IHA20" s="403"/>
      <c r="IHB20" s="403"/>
      <c r="IHC20" s="403"/>
      <c r="IHD20" s="403"/>
      <c r="IHE20" s="403"/>
      <c r="IHF20" s="403"/>
      <c r="IHG20" s="403"/>
      <c r="IHH20" s="403"/>
      <c r="IHI20" s="403"/>
      <c r="IHJ20" s="403"/>
      <c r="IHK20" s="403"/>
      <c r="IHL20" s="403"/>
      <c r="IHM20" s="403" t="s">
        <v>99</v>
      </c>
      <c r="IHN20" s="403"/>
      <c r="IHO20" s="403"/>
      <c r="IHP20" s="403"/>
      <c r="IHQ20" s="403"/>
      <c r="IHR20" s="403"/>
      <c r="IHS20" s="403"/>
      <c r="IHT20" s="403"/>
      <c r="IHU20" s="403"/>
      <c r="IHV20" s="403"/>
      <c r="IHW20" s="403"/>
      <c r="IHX20" s="403"/>
      <c r="IHY20" s="403"/>
      <c r="IHZ20" s="403"/>
      <c r="IIA20" s="403"/>
      <c r="IIB20" s="403"/>
      <c r="IIC20" s="403"/>
      <c r="IID20" s="403"/>
      <c r="IIE20" s="403"/>
      <c r="IIF20" s="403"/>
      <c r="IIG20" s="403"/>
      <c r="IIH20" s="403"/>
      <c r="III20" s="403"/>
      <c r="IIJ20" s="403"/>
      <c r="IIK20" s="403"/>
      <c r="IIL20" s="403"/>
      <c r="IIM20" s="403"/>
      <c r="IIN20" s="403"/>
      <c r="IIO20" s="403"/>
      <c r="IIP20" s="403"/>
      <c r="IIQ20" s="403"/>
      <c r="IIR20" s="403"/>
      <c r="IIS20" s="403" t="s">
        <v>99</v>
      </c>
      <c r="IIT20" s="403"/>
      <c r="IIU20" s="403"/>
      <c r="IIV20" s="403"/>
      <c r="IIW20" s="403"/>
      <c r="IIX20" s="403"/>
      <c r="IIY20" s="403"/>
      <c r="IIZ20" s="403"/>
      <c r="IJA20" s="403"/>
      <c r="IJB20" s="403"/>
      <c r="IJC20" s="403"/>
      <c r="IJD20" s="403"/>
      <c r="IJE20" s="403"/>
      <c r="IJF20" s="403"/>
      <c r="IJG20" s="403"/>
      <c r="IJH20" s="403"/>
      <c r="IJI20" s="403"/>
      <c r="IJJ20" s="403"/>
      <c r="IJK20" s="403"/>
      <c r="IJL20" s="403"/>
      <c r="IJM20" s="403"/>
      <c r="IJN20" s="403"/>
      <c r="IJO20" s="403"/>
      <c r="IJP20" s="403"/>
      <c r="IJQ20" s="403"/>
      <c r="IJR20" s="403"/>
      <c r="IJS20" s="403"/>
      <c r="IJT20" s="403"/>
      <c r="IJU20" s="403"/>
      <c r="IJV20" s="403"/>
      <c r="IJW20" s="403"/>
      <c r="IJX20" s="403"/>
      <c r="IJY20" s="403" t="s">
        <v>99</v>
      </c>
      <c r="IJZ20" s="403"/>
      <c r="IKA20" s="403"/>
      <c r="IKB20" s="403"/>
      <c r="IKC20" s="403"/>
      <c r="IKD20" s="403"/>
      <c r="IKE20" s="403"/>
      <c r="IKF20" s="403"/>
      <c r="IKG20" s="403"/>
      <c r="IKH20" s="403"/>
      <c r="IKI20" s="403"/>
      <c r="IKJ20" s="403"/>
      <c r="IKK20" s="403"/>
      <c r="IKL20" s="403"/>
      <c r="IKM20" s="403"/>
      <c r="IKN20" s="403"/>
      <c r="IKO20" s="403"/>
      <c r="IKP20" s="403"/>
      <c r="IKQ20" s="403"/>
      <c r="IKR20" s="403"/>
      <c r="IKS20" s="403"/>
      <c r="IKT20" s="403"/>
      <c r="IKU20" s="403"/>
      <c r="IKV20" s="403"/>
      <c r="IKW20" s="403"/>
      <c r="IKX20" s="403"/>
      <c r="IKY20" s="403"/>
      <c r="IKZ20" s="403"/>
      <c r="ILA20" s="403"/>
      <c r="ILB20" s="403"/>
      <c r="ILC20" s="403"/>
      <c r="ILD20" s="403"/>
      <c r="ILE20" s="403" t="s">
        <v>99</v>
      </c>
      <c r="ILF20" s="403"/>
      <c r="ILG20" s="403"/>
      <c r="ILH20" s="403"/>
      <c r="ILI20" s="403"/>
      <c r="ILJ20" s="403"/>
      <c r="ILK20" s="403"/>
      <c r="ILL20" s="403"/>
      <c r="ILM20" s="403"/>
      <c r="ILN20" s="403"/>
      <c r="ILO20" s="403"/>
      <c r="ILP20" s="403"/>
      <c r="ILQ20" s="403"/>
      <c r="ILR20" s="403"/>
      <c r="ILS20" s="403"/>
      <c r="ILT20" s="403"/>
      <c r="ILU20" s="403"/>
      <c r="ILV20" s="403"/>
      <c r="ILW20" s="403"/>
      <c r="ILX20" s="403"/>
      <c r="ILY20" s="403"/>
      <c r="ILZ20" s="403"/>
      <c r="IMA20" s="403"/>
      <c r="IMB20" s="403"/>
      <c r="IMC20" s="403"/>
      <c r="IMD20" s="403"/>
      <c r="IME20" s="403"/>
      <c r="IMF20" s="403"/>
      <c r="IMG20" s="403"/>
      <c r="IMH20" s="403"/>
      <c r="IMI20" s="403"/>
      <c r="IMJ20" s="403"/>
      <c r="IMK20" s="403" t="s">
        <v>99</v>
      </c>
      <c r="IML20" s="403"/>
      <c r="IMM20" s="403"/>
      <c r="IMN20" s="403"/>
      <c r="IMO20" s="403"/>
      <c r="IMP20" s="403"/>
      <c r="IMQ20" s="403"/>
      <c r="IMR20" s="403"/>
      <c r="IMS20" s="403"/>
      <c r="IMT20" s="403"/>
      <c r="IMU20" s="403"/>
      <c r="IMV20" s="403"/>
      <c r="IMW20" s="403"/>
      <c r="IMX20" s="403"/>
      <c r="IMY20" s="403"/>
      <c r="IMZ20" s="403"/>
      <c r="INA20" s="403"/>
      <c r="INB20" s="403"/>
      <c r="INC20" s="403"/>
      <c r="IND20" s="403"/>
      <c r="INE20" s="403"/>
      <c r="INF20" s="403"/>
      <c r="ING20" s="403"/>
      <c r="INH20" s="403"/>
      <c r="INI20" s="403"/>
      <c r="INJ20" s="403"/>
      <c r="INK20" s="403"/>
      <c r="INL20" s="403"/>
      <c r="INM20" s="403"/>
      <c r="INN20" s="403"/>
      <c r="INO20" s="403"/>
      <c r="INP20" s="403"/>
      <c r="INQ20" s="403" t="s">
        <v>99</v>
      </c>
      <c r="INR20" s="403"/>
      <c r="INS20" s="403"/>
      <c r="INT20" s="403"/>
      <c r="INU20" s="403"/>
      <c r="INV20" s="403"/>
      <c r="INW20" s="403"/>
      <c r="INX20" s="403"/>
      <c r="INY20" s="403"/>
      <c r="INZ20" s="403"/>
      <c r="IOA20" s="403"/>
      <c r="IOB20" s="403"/>
      <c r="IOC20" s="403"/>
      <c r="IOD20" s="403"/>
      <c r="IOE20" s="403"/>
      <c r="IOF20" s="403"/>
      <c r="IOG20" s="403"/>
      <c r="IOH20" s="403"/>
      <c r="IOI20" s="403"/>
      <c r="IOJ20" s="403"/>
      <c r="IOK20" s="403"/>
      <c r="IOL20" s="403"/>
      <c r="IOM20" s="403"/>
      <c r="ION20" s="403"/>
      <c r="IOO20" s="403"/>
      <c r="IOP20" s="403"/>
      <c r="IOQ20" s="403"/>
      <c r="IOR20" s="403"/>
      <c r="IOS20" s="403"/>
      <c r="IOT20" s="403"/>
      <c r="IOU20" s="403"/>
      <c r="IOV20" s="403"/>
      <c r="IOW20" s="403" t="s">
        <v>99</v>
      </c>
      <c r="IOX20" s="403"/>
      <c r="IOY20" s="403"/>
      <c r="IOZ20" s="403"/>
      <c r="IPA20" s="403"/>
      <c r="IPB20" s="403"/>
      <c r="IPC20" s="403"/>
      <c r="IPD20" s="403"/>
      <c r="IPE20" s="403"/>
      <c r="IPF20" s="403"/>
      <c r="IPG20" s="403"/>
      <c r="IPH20" s="403"/>
      <c r="IPI20" s="403"/>
      <c r="IPJ20" s="403"/>
      <c r="IPK20" s="403"/>
      <c r="IPL20" s="403"/>
      <c r="IPM20" s="403"/>
      <c r="IPN20" s="403"/>
      <c r="IPO20" s="403"/>
      <c r="IPP20" s="403"/>
      <c r="IPQ20" s="403"/>
      <c r="IPR20" s="403"/>
      <c r="IPS20" s="403"/>
      <c r="IPT20" s="403"/>
      <c r="IPU20" s="403"/>
      <c r="IPV20" s="403"/>
      <c r="IPW20" s="403"/>
      <c r="IPX20" s="403"/>
      <c r="IPY20" s="403"/>
      <c r="IPZ20" s="403"/>
      <c r="IQA20" s="403"/>
      <c r="IQB20" s="403"/>
      <c r="IQC20" s="403" t="s">
        <v>99</v>
      </c>
      <c r="IQD20" s="403"/>
      <c r="IQE20" s="403"/>
      <c r="IQF20" s="403"/>
      <c r="IQG20" s="403"/>
      <c r="IQH20" s="403"/>
      <c r="IQI20" s="403"/>
      <c r="IQJ20" s="403"/>
      <c r="IQK20" s="403"/>
      <c r="IQL20" s="403"/>
      <c r="IQM20" s="403"/>
      <c r="IQN20" s="403"/>
      <c r="IQO20" s="403"/>
      <c r="IQP20" s="403"/>
      <c r="IQQ20" s="403"/>
      <c r="IQR20" s="403"/>
      <c r="IQS20" s="403"/>
      <c r="IQT20" s="403"/>
      <c r="IQU20" s="403"/>
      <c r="IQV20" s="403"/>
      <c r="IQW20" s="403"/>
      <c r="IQX20" s="403"/>
      <c r="IQY20" s="403"/>
      <c r="IQZ20" s="403"/>
      <c r="IRA20" s="403"/>
      <c r="IRB20" s="403"/>
      <c r="IRC20" s="403"/>
      <c r="IRD20" s="403"/>
      <c r="IRE20" s="403"/>
      <c r="IRF20" s="403"/>
      <c r="IRG20" s="403"/>
      <c r="IRH20" s="403"/>
      <c r="IRI20" s="403" t="s">
        <v>99</v>
      </c>
      <c r="IRJ20" s="403"/>
      <c r="IRK20" s="403"/>
      <c r="IRL20" s="403"/>
      <c r="IRM20" s="403"/>
      <c r="IRN20" s="403"/>
      <c r="IRO20" s="403"/>
      <c r="IRP20" s="403"/>
      <c r="IRQ20" s="403"/>
      <c r="IRR20" s="403"/>
      <c r="IRS20" s="403"/>
      <c r="IRT20" s="403"/>
      <c r="IRU20" s="403"/>
      <c r="IRV20" s="403"/>
      <c r="IRW20" s="403"/>
      <c r="IRX20" s="403"/>
      <c r="IRY20" s="403"/>
      <c r="IRZ20" s="403"/>
      <c r="ISA20" s="403"/>
      <c r="ISB20" s="403"/>
      <c r="ISC20" s="403"/>
      <c r="ISD20" s="403"/>
      <c r="ISE20" s="403"/>
      <c r="ISF20" s="403"/>
      <c r="ISG20" s="403"/>
      <c r="ISH20" s="403"/>
      <c r="ISI20" s="403"/>
      <c r="ISJ20" s="403"/>
      <c r="ISK20" s="403"/>
      <c r="ISL20" s="403"/>
      <c r="ISM20" s="403"/>
      <c r="ISN20" s="403"/>
      <c r="ISO20" s="403" t="s">
        <v>99</v>
      </c>
      <c r="ISP20" s="403"/>
      <c r="ISQ20" s="403"/>
      <c r="ISR20" s="403"/>
      <c r="ISS20" s="403"/>
      <c r="IST20" s="403"/>
      <c r="ISU20" s="403"/>
      <c r="ISV20" s="403"/>
      <c r="ISW20" s="403"/>
      <c r="ISX20" s="403"/>
      <c r="ISY20" s="403"/>
      <c r="ISZ20" s="403"/>
      <c r="ITA20" s="403"/>
      <c r="ITB20" s="403"/>
      <c r="ITC20" s="403"/>
      <c r="ITD20" s="403"/>
      <c r="ITE20" s="403"/>
      <c r="ITF20" s="403"/>
      <c r="ITG20" s="403"/>
      <c r="ITH20" s="403"/>
      <c r="ITI20" s="403"/>
      <c r="ITJ20" s="403"/>
      <c r="ITK20" s="403"/>
      <c r="ITL20" s="403"/>
      <c r="ITM20" s="403"/>
      <c r="ITN20" s="403"/>
      <c r="ITO20" s="403"/>
      <c r="ITP20" s="403"/>
      <c r="ITQ20" s="403"/>
      <c r="ITR20" s="403"/>
      <c r="ITS20" s="403"/>
      <c r="ITT20" s="403"/>
      <c r="ITU20" s="403" t="s">
        <v>99</v>
      </c>
      <c r="ITV20" s="403"/>
      <c r="ITW20" s="403"/>
      <c r="ITX20" s="403"/>
      <c r="ITY20" s="403"/>
      <c r="ITZ20" s="403"/>
      <c r="IUA20" s="403"/>
      <c r="IUB20" s="403"/>
      <c r="IUC20" s="403"/>
      <c r="IUD20" s="403"/>
      <c r="IUE20" s="403"/>
      <c r="IUF20" s="403"/>
      <c r="IUG20" s="403"/>
      <c r="IUH20" s="403"/>
      <c r="IUI20" s="403"/>
      <c r="IUJ20" s="403"/>
      <c r="IUK20" s="403"/>
      <c r="IUL20" s="403"/>
      <c r="IUM20" s="403"/>
      <c r="IUN20" s="403"/>
      <c r="IUO20" s="403"/>
      <c r="IUP20" s="403"/>
      <c r="IUQ20" s="403"/>
      <c r="IUR20" s="403"/>
      <c r="IUS20" s="403"/>
      <c r="IUT20" s="403"/>
      <c r="IUU20" s="403"/>
      <c r="IUV20" s="403"/>
      <c r="IUW20" s="403"/>
      <c r="IUX20" s="403"/>
      <c r="IUY20" s="403"/>
      <c r="IUZ20" s="403"/>
      <c r="IVA20" s="403" t="s">
        <v>99</v>
      </c>
      <c r="IVB20" s="403"/>
      <c r="IVC20" s="403"/>
      <c r="IVD20" s="403"/>
      <c r="IVE20" s="403"/>
      <c r="IVF20" s="403"/>
      <c r="IVG20" s="403"/>
      <c r="IVH20" s="403"/>
      <c r="IVI20" s="403"/>
      <c r="IVJ20" s="403"/>
      <c r="IVK20" s="403"/>
      <c r="IVL20" s="403"/>
      <c r="IVM20" s="403"/>
      <c r="IVN20" s="403"/>
      <c r="IVO20" s="403"/>
      <c r="IVP20" s="403"/>
      <c r="IVQ20" s="403"/>
      <c r="IVR20" s="403"/>
      <c r="IVS20" s="403"/>
      <c r="IVT20" s="403"/>
      <c r="IVU20" s="403"/>
      <c r="IVV20" s="403"/>
      <c r="IVW20" s="403"/>
      <c r="IVX20" s="403"/>
      <c r="IVY20" s="403"/>
      <c r="IVZ20" s="403"/>
      <c r="IWA20" s="403"/>
      <c r="IWB20" s="403"/>
      <c r="IWC20" s="403"/>
      <c r="IWD20" s="403"/>
      <c r="IWE20" s="403"/>
      <c r="IWF20" s="403"/>
      <c r="IWG20" s="403" t="s">
        <v>99</v>
      </c>
      <c r="IWH20" s="403"/>
      <c r="IWI20" s="403"/>
      <c r="IWJ20" s="403"/>
      <c r="IWK20" s="403"/>
      <c r="IWL20" s="403"/>
      <c r="IWM20" s="403"/>
      <c r="IWN20" s="403"/>
      <c r="IWO20" s="403"/>
      <c r="IWP20" s="403"/>
      <c r="IWQ20" s="403"/>
      <c r="IWR20" s="403"/>
      <c r="IWS20" s="403"/>
      <c r="IWT20" s="403"/>
      <c r="IWU20" s="403"/>
      <c r="IWV20" s="403"/>
      <c r="IWW20" s="403"/>
      <c r="IWX20" s="403"/>
      <c r="IWY20" s="403"/>
      <c r="IWZ20" s="403"/>
      <c r="IXA20" s="403"/>
      <c r="IXB20" s="403"/>
      <c r="IXC20" s="403"/>
      <c r="IXD20" s="403"/>
      <c r="IXE20" s="403"/>
      <c r="IXF20" s="403"/>
      <c r="IXG20" s="403"/>
      <c r="IXH20" s="403"/>
      <c r="IXI20" s="403"/>
      <c r="IXJ20" s="403"/>
      <c r="IXK20" s="403"/>
      <c r="IXL20" s="403"/>
      <c r="IXM20" s="403" t="s">
        <v>99</v>
      </c>
      <c r="IXN20" s="403"/>
      <c r="IXO20" s="403"/>
      <c r="IXP20" s="403"/>
      <c r="IXQ20" s="403"/>
      <c r="IXR20" s="403"/>
      <c r="IXS20" s="403"/>
      <c r="IXT20" s="403"/>
      <c r="IXU20" s="403"/>
      <c r="IXV20" s="403"/>
      <c r="IXW20" s="403"/>
      <c r="IXX20" s="403"/>
      <c r="IXY20" s="403"/>
      <c r="IXZ20" s="403"/>
      <c r="IYA20" s="403"/>
      <c r="IYB20" s="403"/>
      <c r="IYC20" s="403"/>
      <c r="IYD20" s="403"/>
      <c r="IYE20" s="403"/>
      <c r="IYF20" s="403"/>
      <c r="IYG20" s="403"/>
      <c r="IYH20" s="403"/>
      <c r="IYI20" s="403"/>
      <c r="IYJ20" s="403"/>
      <c r="IYK20" s="403"/>
      <c r="IYL20" s="403"/>
      <c r="IYM20" s="403"/>
      <c r="IYN20" s="403"/>
      <c r="IYO20" s="403"/>
      <c r="IYP20" s="403"/>
      <c r="IYQ20" s="403"/>
      <c r="IYR20" s="403"/>
      <c r="IYS20" s="403" t="s">
        <v>99</v>
      </c>
      <c r="IYT20" s="403"/>
      <c r="IYU20" s="403"/>
      <c r="IYV20" s="403"/>
      <c r="IYW20" s="403"/>
      <c r="IYX20" s="403"/>
      <c r="IYY20" s="403"/>
      <c r="IYZ20" s="403"/>
      <c r="IZA20" s="403"/>
      <c r="IZB20" s="403"/>
      <c r="IZC20" s="403"/>
      <c r="IZD20" s="403"/>
      <c r="IZE20" s="403"/>
      <c r="IZF20" s="403"/>
      <c r="IZG20" s="403"/>
      <c r="IZH20" s="403"/>
      <c r="IZI20" s="403"/>
      <c r="IZJ20" s="403"/>
      <c r="IZK20" s="403"/>
      <c r="IZL20" s="403"/>
      <c r="IZM20" s="403"/>
      <c r="IZN20" s="403"/>
      <c r="IZO20" s="403"/>
      <c r="IZP20" s="403"/>
      <c r="IZQ20" s="403"/>
      <c r="IZR20" s="403"/>
      <c r="IZS20" s="403"/>
      <c r="IZT20" s="403"/>
      <c r="IZU20" s="403"/>
      <c r="IZV20" s="403"/>
      <c r="IZW20" s="403"/>
      <c r="IZX20" s="403"/>
      <c r="IZY20" s="403" t="s">
        <v>99</v>
      </c>
      <c r="IZZ20" s="403"/>
      <c r="JAA20" s="403"/>
      <c r="JAB20" s="403"/>
      <c r="JAC20" s="403"/>
      <c r="JAD20" s="403"/>
      <c r="JAE20" s="403"/>
      <c r="JAF20" s="403"/>
      <c r="JAG20" s="403"/>
      <c r="JAH20" s="403"/>
      <c r="JAI20" s="403"/>
      <c r="JAJ20" s="403"/>
      <c r="JAK20" s="403"/>
      <c r="JAL20" s="403"/>
      <c r="JAM20" s="403"/>
      <c r="JAN20" s="403"/>
      <c r="JAO20" s="403"/>
      <c r="JAP20" s="403"/>
      <c r="JAQ20" s="403"/>
      <c r="JAR20" s="403"/>
      <c r="JAS20" s="403"/>
      <c r="JAT20" s="403"/>
      <c r="JAU20" s="403"/>
      <c r="JAV20" s="403"/>
      <c r="JAW20" s="403"/>
      <c r="JAX20" s="403"/>
      <c r="JAY20" s="403"/>
      <c r="JAZ20" s="403"/>
      <c r="JBA20" s="403"/>
      <c r="JBB20" s="403"/>
      <c r="JBC20" s="403"/>
      <c r="JBD20" s="403"/>
      <c r="JBE20" s="403" t="s">
        <v>99</v>
      </c>
      <c r="JBF20" s="403"/>
      <c r="JBG20" s="403"/>
      <c r="JBH20" s="403"/>
      <c r="JBI20" s="403"/>
      <c r="JBJ20" s="403"/>
      <c r="JBK20" s="403"/>
      <c r="JBL20" s="403"/>
      <c r="JBM20" s="403"/>
      <c r="JBN20" s="403"/>
      <c r="JBO20" s="403"/>
      <c r="JBP20" s="403"/>
      <c r="JBQ20" s="403"/>
      <c r="JBR20" s="403"/>
      <c r="JBS20" s="403"/>
      <c r="JBT20" s="403"/>
      <c r="JBU20" s="403"/>
      <c r="JBV20" s="403"/>
      <c r="JBW20" s="403"/>
      <c r="JBX20" s="403"/>
      <c r="JBY20" s="403"/>
      <c r="JBZ20" s="403"/>
      <c r="JCA20" s="403"/>
      <c r="JCB20" s="403"/>
      <c r="JCC20" s="403"/>
      <c r="JCD20" s="403"/>
      <c r="JCE20" s="403"/>
      <c r="JCF20" s="403"/>
      <c r="JCG20" s="403"/>
      <c r="JCH20" s="403"/>
      <c r="JCI20" s="403"/>
      <c r="JCJ20" s="403"/>
      <c r="JCK20" s="403" t="s">
        <v>99</v>
      </c>
      <c r="JCL20" s="403"/>
      <c r="JCM20" s="403"/>
      <c r="JCN20" s="403"/>
      <c r="JCO20" s="403"/>
      <c r="JCP20" s="403"/>
      <c r="JCQ20" s="403"/>
      <c r="JCR20" s="403"/>
      <c r="JCS20" s="403"/>
      <c r="JCT20" s="403"/>
      <c r="JCU20" s="403"/>
      <c r="JCV20" s="403"/>
      <c r="JCW20" s="403"/>
      <c r="JCX20" s="403"/>
      <c r="JCY20" s="403"/>
      <c r="JCZ20" s="403"/>
      <c r="JDA20" s="403"/>
      <c r="JDB20" s="403"/>
      <c r="JDC20" s="403"/>
      <c r="JDD20" s="403"/>
      <c r="JDE20" s="403"/>
      <c r="JDF20" s="403"/>
      <c r="JDG20" s="403"/>
      <c r="JDH20" s="403"/>
      <c r="JDI20" s="403"/>
      <c r="JDJ20" s="403"/>
      <c r="JDK20" s="403"/>
      <c r="JDL20" s="403"/>
      <c r="JDM20" s="403"/>
      <c r="JDN20" s="403"/>
      <c r="JDO20" s="403"/>
      <c r="JDP20" s="403"/>
      <c r="JDQ20" s="403" t="s">
        <v>99</v>
      </c>
      <c r="JDR20" s="403"/>
      <c r="JDS20" s="403"/>
      <c r="JDT20" s="403"/>
      <c r="JDU20" s="403"/>
      <c r="JDV20" s="403"/>
      <c r="JDW20" s="403"/>
      <c r="JDX20" s="403"/>
      <c r="JDY20" s="403"/>
      <c r="JDZ20" s="403"/>
      <c r="JEA20" s="403"/>
      <c r="JEB20" s="403"/>
      <c r="JEC20" s="403"/>
      <c r="JED20" s="403"/>
      <c r="JEE20" s="403"/>
      <c r="JEF20" s="403"/>
      <c r="JEG20" s="403"/>
      <c r="JEH20" s="403"/>
      <c r="JEI20" s="403"/>
      <c r="JEJ20" s="403"/>
      <c r="JEK20" s="403"/>
      <c r="JEL20" s="403"/>
      <c r="JEM20" s="403"/>
      <c r="JEN20" s="403"/>
      <c r="JEO20" s="403"/>
      <c r="JEP20" s="403"/>
      <c r="JEQ20" s="403"/>
      <c r="JER20" s="403"/>
      <c r="JES20" s="403"/>
      <c r="JET20" s="403"/>
      <c r="JEU20" s="403"/>
      <c r="JEV20" s="403"/>
      <c r="JEW20" s="403" t="s">
        <v>99</v>
      </c>
      <c r="JEX20" s="403"/>
      <c r="JEY20" s="403"/>
      <c r="JEZ20" s="403"/>
      <c r="JFA20" s="403"/>
      <c r="JFB20" s="403"/>
      <c r="JFC20" s="403"/>
      <c r="JFD20" s="403"/>
      <c r="JFE20" s="403"/>
      <c r="JFF20" s="403"/>
      <c r="JFG20" s="403"/>
      <c r="JFH20" s="403"/>
      <c r="JFI20" s="403"/>
      <c r="JFJ20" s="403"/>
      <c r="JFK20" s="403"/>
      <c r="JFL20" s="403"/>
      <c r="JFM20" s="403"/>
      <c r="JFN20" s="403"/>
      <c r="JFO20" s="403"/>
      <c r="JFP20" s="403"/>
      <c r="JFQ20" s="403"/>
      <c r="JFR20" s="403"/>
      <c r="JFS20" s="403"/>
      <c r="JFT20" s="403"/>
      <c r="JFU20" s="403"/>
      <c r="JFV20" s="403"/>
      <c r="JFW20" s="403"/>
      <c r="JFX20" s="403"/>
      <c r="JFY20" s="403"/>
      <c r="JFZ20" s="403"/>
      <c r="JGA20" s="403"/>
      <c r="JGB20" s="403"/>
      <c r="JGC20" s="403" t="s">
        <v>99</v>
      </c>
      <c r="JGD20" s="403"/>
      <c r="JGE20" s="403"/>
      <c r="JGF20" s="403"/>
      <c r="JGG20" s="403"/>
      <c r="JGH20" s="403"/>
      <c r="JGI20" s="403"/>
      <c r="JGJ20" s="403"/>
      <c r="JGK20" s="403"/>
      <c r="JGL20" s="403"/>
      <c r="JGM20" s="403"/>
      <c r="JGN20" s="403"/>
      <c r="JGO20" s="403"/>
      <c r="JGP20" s="403"/>
      <c r="JGQ20" s="403"/>
      <c r="JGR20" s="403"/>
      <c r="JGS20" s="403"/>
      <c r="JGT20" s="403"/>
      <c r="JGU20" s="403"/>
      <c r="JGV20" s="403"/>
      <c r="JGW20" s="403"/>
      <c r="JGX20" s="403"/>
      <c r="JGY20" s="403"/>
      <c r="JGZ20" s="403"/>
      <c r="JHA20" s="403"/>
      <c r="JHB20" s="403"/>
      <c r="JHC20" s="403"/>
      <c r="JHD20" s="403"/>
      <c r="JHE20" s="403"/>
      <c r="JHF20" s="403"/>
      <c r="JHG20" s="403"/>
      <c r="JHH20" s="403"/>
      <c r="JHI20" s="403" t="s">
        <v>99</v>
      </c>
      <c r="JHJ20" s="403"/>
      <c r="JHK20" s="403"/>
      <c r="JHL20" s="403"/>
      <c r="JHM20" s="403"/>
      <c r="JHN20" s="403"/>
      <c r="JHO20" s="403"/>
      <c r="JHP20" s="403"/>
      <c r="JHQ20" s="403"/>
      <c r="JHR20" s="403"/>
      <c r="JHS20" s="403"/>
      <c r="JHT20" s="403"/>
      <c r="JHU20" s="403"/>
      <c r="JHV20" s="403"/>
      <c r="JHW20" s="403"/>
      <c r="JHX20" s="403"/>
      <c r="JHY20" s="403"/>
      <c r="JHZ20" s="403"/>
      <c r="JIA20" s="403"/>
      <c r="JIB20" s="403"/>
      <c r="JIC20" s="403"/>
      <c r="JID20" s="403"/>
      <c r="JIE20" s="403"/>
      <c r="JIF20" s="403"/>
      <c r="JIG20" s="403"/>
      <c r="JIH20" s="403"/>
      <c r="JII20" s="403"/>
      <c r="JIJ20" s="403"/>
      <c r="JIK20" s="403"/>
      <c r="JIL20" s="403"/>
      <c r="JIM20" s="403"/>
      <c r="JIN20" s="403"/>
      <c r="JIO20" s="403" t="s">
        <v>99</v>
      </c>
      <c r="JIP20" s="403"/>
      <c r="JIQ20" s="403"/>
      <c r="JIR20" s="403"/>
      <c r="JIS20" s="403"/>
      <c r="JIT20" s="403"/>
      <c r="JIU20" s="403"/>
      <c r="JIV20" s="403"/>
      <c r="JIW20" s="403"/>
      <c r="JIX20" s="403"/>
      <c r="JIY20" s="403"/>
      <c r="JIZ20" s="403"/>
      <c r="JJA20" s="403"/>
      <c r="JJB20" s="403"/>
      <c r="JJC20" s="403"/>
      <c r="JJD20" s="403"/>
      <c r="JJE20" s="403"/>
      <c r="JJF20" s="403"/>
      <c r="JJG20" s="403"/>
      <c r="JJH20" s="403"/>
      <c r="JJI20" s="403"/>
      <c r="JJJ20" s="403"/>
      <c r="JJK20" s="403"/>
      <c r="JJL20" s="403"/>
      <c r="JJM20" s="403"/>
      <c r="JJN20" s="403"/>
      <c r="JJO20" s="403"/>
      <c r="JJP20" s="403"/>
      <c r="JJQ20" s="403"/>
      <c r="JJR20" s="403"/>
      <c r="JJS20" s="403"/>
      <c r="JJT20" s="403"/>
      <c r="JJU20" s="403" t="s">
        <v>99</v>
      </c>
      <c r="JJV20" s="403"/>
      <c r="JJW20" s="403"/>
      <c r="JJX20" s="403"/>
      <c r="JJY20" s="403"/>
      <c r="JJZ20" s="403"/>
      <c r="JKA20" s="403"/>
      <c r="JKB20" s="403"/>
      <c r="JKC20" s="403"/>
      <c r="JKD20" s="403"/>
      <c r="JKE20" s="403"/>
      <c r="JKF20" s="403"/>
      <c r="JKG20" s="403"/>
      <c r="JKH20" s="403"/>
      <c r="JKI20" s="403"/>
      <c r="JKJ20" s="403"/>
      <c r="JKK20" s="403"/>
      <c r="JKL20" s="403"/>
      <c r="JKM20" s="403"/>
      <c r="JKN20" s="403"/>
      <c r="JKO20" s="403"/>
      <c r="JKP20" s="403"/>
      <c r="JKQ20" s="403"/>
      <c r="JKR20" s="403"/>
      <c r="JKS20" s="403"/>
      <c r="JKT20" s="403"/>
      <c r="JKU20" s="403"/>
      <c r="JKV20" s="403"/>
      <c r="JKW20" s="403"/>
      <c r="JKX20" s="403"/>
      <c r="JKY20" s="403"/>
      <c r="JKZ20" s="403"/>
      <c r="JLA20" s="403" t="s">
        <v>99</v>
      </c>
      <c r="JLB20" s="403"/>
      <c r="JLC20" s="403"/>
      <c r="JLD20" s="403"/>
      <c r="JLE20" s="403"/>
      <c r="JLF20" s="403"/>
      <c r="JLG20" s="403"/>
      <c r="JLH20" s="403"/>
      <c r="JLI20" s="403"/>
      <c r="JLJ20" s="403"/>
      <c r="JLK20" s="403"/>
      <c r="JLL20" s="403"/>
      <c r="JLM20" s="403"/>
      <c r="JLN20" s="403"/>
      <c r="JLO20" s="403"/>
      <c r="JLP20" s="403"/>
      <c r="JLQ20" s="403"/>
      <c r="JLR20" s="403"/>
      <c r="JLS20" s="403"/>
      <c r="JLT20" s="403"/>
      <c r="JLU20" s="403"/>
      <c r="JLV20" s="403"/>
      <c r="JLW20" s="403"/>
      <c r="JLX20" s="403"/>
      <c r="JLY20" s="403"/>
      <c r="JLZ20" s="403"/>
      <c r="JMA20" s="403"/>
      <c r="JMB20" s="403"/>
      <c r="JMC20" s="403"/>
      <c r="JMD20" s="403"/>
      <c r="JME20" s="403"/>
      <c r="JMF20" s="403"/>
      <c r="JMG20" s="403" t="s">
        <v>99</v>
      </c>
      <c r="JMH20" s="403"/>
      <c r="JMI20" s="403"/>
      <c r="JMJ20" s="403"/>
      <c r="JMK20" s="403"/>
      <c r="JML20" s="403"/>
      <c r="JMM20" s="403"/>
      <c r="JMN20" s="403"/>
      <c r="JMO20" s="403"/>
      <c r="JMP20" s="403"/>
      <c r="JMQ20" s="403"/>
      <c r="JMR20" s="403"/>
      <c r="JMS20" s="403"/>
      <c r="JMT20" s="403"/>
      <c r="JMU20" s="403"/>
      <c r="JMV20" s="403"/>
      <c r="JMW20" s="403"/>
      <c r="JMX20" s="403"/>
      <c r="JMY20" s="403"/>
      <c r="JMZ20" s="403"/>
      <c r="JNA20" s="403"/>
      <c r="JNB20" s="403"/>
      <c r="JNC20" s="403"/>
      <c r="JND20" s="403"/>
      <c r="JNE20" s="403"/>
      <c r="JNF20" s="403"/>
      <c r="JNG20" s="403"/>
      <c r="JNH20" s="403"/>
      <c r="JNI20" s="403"/>
      <c r="JNJ20" s="403"/>
      <c r="JNK20" s="403"/>
      <c r="JNL20" s="403"/>
      <c r="JNM20" s="403" t="s">
        <v>99</v>
      </c>
      <c r="JNN20" s="403"/>
      <c r="JNO20" s="403"/>
      <c r="JNP20" s="403"/>
      <c r="JNQ20" s="403"/>
      <c r="JNR20" s="403"/>
      <c r="JNS20" s="403"/>
      <c r="JNT20" s="403"/>
      <c r="JNU20" s="403"/>
      <c r="JNV20" s="403"/>
      <c r="JNW20" s="403"/>
      <c r="JNX20" s="403"/>
      <c r="JNY20" s="403"/>
      <c r="JNZ20" s="403"/>
      <c r="JOA20" s="403"/>
      <c r="JOB20" s="403"/>
      <c r="JOC20" s="403"/>
      <c r="JOD20" s="403"/>
      <c r="JOE20" s="403"/>
      <c r="JOF20" s="403"/>
      <c r="JOG20" s="403"/>
      <c r="JOH20" s="403"/>
      <c r="JOI20" s="403"/>
      <c r="JOJ20" s="403"/>
      <c r="JOK20" s="403"/>
      <c r="JOL20" s="403"/>
      <c r="JOM20" s="403"/>
      <c r="JON20" s="403"/>
      <c r="JOO20" s="403"/>
      <c r="JOP20" s="403"/>
      <c r="JOQ20" s="403"/>
      <c r="JOR20" s="403"/>
      <c r="JOS20" s="403" t="s">
        <v>99</v>
      </c>
      <c r="JOT20" s="403"/>
      <c r="JOU20" s="403"/>
      <c r="JOV20" s="403"/>
      <c r="JOW20" s="403"/>
      <c r="JOX20" s="403"/>
      <c r="JOY20" s="403"/>
      <c r="JOZ20" s="403"/>
      <c r="JPA20" s="403"/>
      <c r="JPB20" s="403"/>
      <c r="JPC20" s="403"/>
      <c r="JPD20" s="403"/>
      <c r="JPE20" s="403"/>
      <c r="JPF20" s="403"/>
      <c r="JPG20" s="403"/>
      <c r="JPH20" s="403"/>
      <c r="JPI20" s="403"/>
      <c r="JPJ20" s="403"/>
      <c r="JPK20" s="403"/>
      <c r="JPL20" s="403"/>
      <c r="JPM20" s="403"/>
      <c r="JPN20" s="403"/>
      <c r="JPO20" s="403"/>
      <c r="JPP20" s="403"/>
      <c r="JPQ20" s="403"/>
      <c r="JPR20" s="403"/>
      <c r="JPS20" s="403"/>
      <c r="JPT20" s="403"/>
      <c r="JPU20" s="403"/>
      <c r="JPV20" s="403"/>
      <c r="JPW20" s="403"/>
      <c r="JPX20" s="403"/>
      <c r="JPY20" s="403" t="s">
        <v>99</v>
      </c>
      <c r="JPZ20" s="403"/>
      <c r="JQA20" s="403"/>
      <c r="JQB20" s="403"/>
      <c r="JQC20" s="403"/>
      <c r="JQD20" s="403"/>
      <c r="JQE20" s="403"/>
      <c r="JQF20" s="403"/>
      <c r="JQG20" s="403"/>
      <c r="JQH20" s="403"/>
      <c r="JQI20" s="403"/>
      <c r="JQJ20" s="403"/>
      <c r="JQK20" s="403"/>
      <c r="JQL20" s="403"/>
      <c r="JQM20" s="403"/>
      <c r="JQN20" s="403"/>
      <c r="JQO20" s="403"/>
      <c r="JQP20" s="403"/>
      <c r="JQQ20" s="403"/>
      <c r="JQR20" s="403"/>
      <c r="JQS20" s="403"/>
      <c r="JQT20" s="403"/>
      <c r="JQU20" s="403"/>
      <c r="JQV20" s="403"/>
      <c r="JQW20" s="403"/>
      <c r="JQX20" s="403"/>
      <c r="JQY20" s="403"/>
      <c r="JQZ20" s="403"/>
      <c r="JRA20" s="403"/>
      <c r="JRB20" s="403"/>
      <c r="JRC20" s="403"/>
      <c r="JRD20" s="403"/>
      <c r="JRE20" s="403" t="s">
        <v>99</v>
      </c>
      <c r="JRF20" s="403"/>
      <c r="JRG20" s="403"/>
      <c r="JRH20" s="403"/>
      <c r="JRI20" s="403"/>
      <c r="JRJ20" s="403"/>
      <c r="JRK20" s="403"/>
      <c r="JRL20" s="403"/>
      <c r="JRM20" s="403"/>
      <c r="JRN20" s="403"/>
      <c r="JRO20" s="403"/>
      <c r="JRP20" s="403"/>
      <c r="JRQ20" s="403"/>
      <c r="JRR20" s="403"/>
      <c r="JRS20" s="403"/>
      <c r="JRT20" s="403"/>
      <c r="JRU20" s="403"/>
      <c r="JRV20" s="403"/>
      <c r="JRW20" s="403"/>
      <c r="JRX20" s="403"/>
      <c r="JRY20" s="403"/>
      <c r="JRZ20" s="403"/>
      <c r="JSA20" s="403"/>
      <c r="JSB20" s="403"/>
      <c r="JSC20" s="403"/>
      <c r="JSD20" s="403"/>
      <c r="JSE20" s="403"/>
      <c r="JSF20" s="403"/>
      <c r="JSG20" s="403"/>
      <c r="JSH20" s="403"/>
      <c r="JSI20" s="403"/>
      <c r="JSJ20" s="403"/>
      <c r="JSK20" s="403" t="s">
        <v>99</v>
      </c>
      <c r="JSL20" s="403"/>
      <c r="JSM20" s="403"/>
      <c r="JSN20" s="403"/>
      <c r="JSO20" s="403"/>
      <c r="JSP20" s="403"/>
      <c r="JSQ20" s="403"/>
      <c r="JSR20" s="403"/>
      <c r="JSS20" s="403"/>
      <c r="JST20" s="403"/>
      <c r="JSU20" s="403"/>
      <c r="JSV20" s="403"/>
      <c r="JSW20" s="403"/>
      <c r="JSX20" s="403"/>
      <c r="JSY20" s="403"/>
      <c r="JSZ20" s="403"/>
      <c r="JTA20" s="403"/>
      <c r="JTB20" s="403"/>
      <c r="JTC20" s="403"/>
      <c r="JTD20" s="403"/>
      <c r="JTE20" s="403"/>
      <c r="JTF20" s="403"/>
      <c r="JTG20" s="403"/>
      <c r="JTH20" s="403"/>
      <c r="JTI20" s="403"/>
      <c r="JTJ20" s="403"/>
      <c r="JTK20" s="403"/>
      <c r="JTL20" s="403"/>
      <c r="JTM20" s="403"/>
      <c r="JTN20" s="403"/>
      <c r="JTO20" s="403"/>
      <c r="JTP20" s="403"/>
      <c r="JTQ20" s="403" t="s">
        <v>99</v>
      </c>
      <c r="JTR20" s="403"/>
      <c r="JTS20" s="403"/>
      <c r="JTT20" s="403"/>
      <c r="JTU20" s="403"/>
      <c r="JTV20" s="403"/>
      <c r="JTW20" s="403"/>
      <c r="JTX20" s="403"/>
      <c r="JTY20" s="403"/>
      <c r="JTZ20" s="403"/>
      <c r="JUA20" s="403"/>
      <c r="JUB20" s="403"/>
      <c r="JUC20" s="403"/>
      <c r="JUD20" s="403"/>
      <c r="JUE20" s="403"/>
      <c r="JUF20" s="403"/>
      <c r="JUG20" s="403"/>
      <c r="JUH20" s="403"/>
      <c r="JUI20" s="403"/>
      <c r="JUJ20" s="403"/>
      <c r="JUK20" s="403"/>
      <c r="JUL20" s="403"/>
      <c r="JUM20" s="403"/>
      <c r="JUN20" s="403"/>
      <c r="JUO20" s="403"/>
      <c r="JUP20" s="403"/>
      <c r="JUQ20" s="403"/>
      <c r="JUR20" s="403"/>
      <c r="JUS20" s="403"/>
      <c r="JUT20" s="403"/>
      <c r="JUU20" s="403"/>
      <c r="JUV20" s="403"/>
      <c r="JUW20" s="403" t="s">
        <v>99</v>
      </c>
      <c r="JUX20" s="403"/>
      <c r="JUY20" s="403"/>
      <c r="JUZ20" s="403"/>
      <c r="JVA20" s="403"/>
      <c r="JVB20" s="403"/>
      <c r="JVC20" s="403"/>
      <c r="JVD20" s="403"/>
      <c r="JVE20" s="403"/>
      <c r="JVF20" s="403"/>
      <c r="JVG20" s="403"/>
      <c r="JVH20" s="403"/>
      <c r="JVI20" s="403"/>
      <c r="JVJ20" s="403"/>
      <c r="JVK20" s="403"/>
      <c r="JVL20" s="403"/>
      <c r="JVM20" s="403"/>
      <c r="JVN20" s="403"/>
      <c r="JVO20" s="403"/>
      <c r="JVP20" s="403"/>
      <c r="JVQ20" s="403"/>
      <c r="JVR20" s="403"/>
      <c r="JVS20" s="403"/>
      <c r="JVT20" s="403"/>
      <c r="JVU20" s="403"/>
      <c r="JVV20" s="403"/>
      <c r="JVW20" s="403"/>
      <c r="JVX20" s="403"/>
      <c r="JVY20" s="403"/>
      <c r="JVZ20" s="403"/>
      <c r="JWA20" s="403"/>
      <c r="JWB20" s="403"/>
      <c r="JWC20" s="403" t="s">
        <v>99</v>
      </c>
      <c r="JWD20" s="403"/>
      <c r="JWE20" s="403"/>
      <c r="JWF20" s="403"/>
      <c r="JWG20" s="403"/>
      <c r="JWH20" s="403"/>
      <c r="JWI20" s="403"/>
      <c r="JWJ20" s="403"/>
      <c r="JWK20" s="403"/>
      <c r="JWL20" s="403"/>
      <c r="JWM20" s="403"/>
      <c r="JWN20" s="403"/>
      <c r="JWO20" s="403"/>
      <c r="JWP20" s="403"/>
      <c r="JWQ20" s="403"/>
      <c r="JWR20" s="403"/>
      <c r="JWS20" s="403"/>
      <c r="JWT20" s="403"/>
      <c r="JWU20" s="403"/>
      <c r="JWV20" s="403"/>
      <c r="JWW20" s="403"/>
      <c r="JWX20" s="403"/>
      <c r="JWY20" s="403"/>
      <c r="JWZ20" s="403"/>
      <c r="JXA20" s="403"/>
      <c r="JXB20" s="403"/>
      <c r="JXC20" s="403"/>
      <c r="JXD20" s="403"/>
      <c r="JXE20" s="403"/>
      <c r="JXF20" s="403"/>
      <c r="JXG20" s="403"/>
      <c r="JXH20" s="403"/>
      <c r="JXI20" s="403" t="s">
        <v>99</v>
      </c>
      <c r="JXJ20" s="403"/>
      <c r="JXK20" s="403"/>
      <c r="JXL20" s="403"/>
      <c r="JXM20" s="403"/>
      <c r="JXN20" s="403"/>
      <c r="JXO20" s="403"/>
      <c r="JXP20" s="403"/>
      <c r="JXQ20" s="403"/>
      <c r="JXR20" s="403"/>
      <c r="JXS20" s="403"/>
      <c r="JXT20" s="403"/>
      <c r="JXU20" s="403"/>
      <c r="JXV20" s="403"/>
      <c r="JXW20" s="403"/>
      <c r="JXX20" s="403"/>
      <c r="JXY20" s="403"/>
      <c r="JXZ20" s="403"/>
      <c r="JYA20" s="403"/>
      <c r="JYB20" s="403"/>
      <c r="JYC20" s="403"/>
      <c r="JYD20" s="403"/>
      <c r="JYE20" s="403"/>
      <c r="JYF20" s="403"/>
      <c r="JYG20" s="403"/>
      <c r="JYH20" s="403"/>
      <c r="JYI20" s="403"/>
      <c r="JYJ20" s="403"/>
      <c r="JYK20" s="403"/>
      <c r="JYL20" s="403"/>
      <c r="JYM20" s="403"/>
      <c r="JYN20" s="403"/>
      <c r="JYO20" s="403" t="s">
        <v>99</v>
      </c>
      <c r="JYP20" s="403"/>
      <c r="JYQ20" s="403"/>
      <c r="JYR20" s="403"/>
      <c r="JYS20" s="403"/>
      <c r="JYT20" s="403"/>
      <c r="JYU20" s="403"/>
      <c r="JYV20" s="403"/>
      <c r="JYW20" s="403"/>
      <c r="JYX20" s="403"/>
      <c r="JYY20" s="403"/>
      <c r="JYZ20" s="403"/>
      <c r="JZA20" s="403"/>
      <c r="JZB20" s="403"/>
      <c r="JZC20" s="403"/>
      <c r="JZD20" s="403"/>
      <c r="JZE20" s="403"/>
      <c r="JZF20" s="403"/>
      <c r="JZG20" s="403"/>
      <c r="JZH20" s="403"/>
      <c r="JZI20" s="403"/>
      <c r="JZJ20" s="403"/>
      <c r="JZK20" s="403"/>
      <c r="JZL20" s="403"/>
      <c r="JZM20" s="403"/>
      <c r="JZN20" s="403"/>
      <c r="JZO20" s="403"/>
      <c r="JZP20" s="403"/>
      <c r="JZQ20" s="403"/>
      <c r="JZR20" s="403"/>
      <c r="JZS20" s="403"/>
      <c r="JZT20" s="403"/>
      <c r="JZU20" s="403" t="s">
        <v>99</v>
      </c>
      <c r="JZV20" s="403"/>
      <c r="JZW20" s="403"/>
      <c r="JZX20" s="403"/>
      <c r="JZY20" s="403"/>
      <c r="JZZ20" s="403"/>
      <c r="KAA20" s="403"/>
      <c r="KAB20" s="403"/>
      <c r="KAC20" s="403"/>
      <c r="KAD20" s="403"/>
      <c r="KAE20" s="403"/>
      <c r="KAF20" s="403"/>
      <c r="KAG20" s="403"/>
      <c r="KAH20" s="403"/>
      <c r="KAI20" s="403"/>
      <c r="KAJ20" s="403"/>
      <c r="KAK20" s="403"/>
      <c r="KAL20" s="403"/>
      <c r="KAM20" s="403"/>
      <c r="KAN20" s="403"/>
      <c r="KAO20" s="403"/>
      <c r="KAP20" s="403"/>
      <c r="KAQ20" s="403"/>
      <c r="KAR20" s="403"/>
      <c r="KAS20" s="403"/>
      <c r="KAT20" s="403"/>
      <c r="KAU20" s="403"/>
      <c r="KAV20" s="403"/>
      <c r="KAW20" s="403"/>
      <c r="KAX20" s="403"/>
      <c r="KAY20" s="403"/>
      <c r="KAZ20" s="403"/>
      <c r="KBA20" s="403" t="s">
        <v>99</v>
      </c>
      <c r="KBB20" s="403"/>
      <c r="KBC20" s="403"/>
      <c r="KBD20" s="403"/>
      <c r="KBE20" s="403"/>
      <c r="KBF20" s="403"/>
      <c r="KBG20" s="403"/>
      <c r="KBH20" s="403"/>
      <c r="KBI20" s="403"/>
      <c r="KBJ20" s="403"/>
      <c r="KBK20" s="403"/>
      <c r="KBL20" s="403"/>
      <c r="KBM20" s="403"/>
      <c r="KBN20" s="403"/>
      <c r="KBO20" s="403"/>
      <c r="KBP20" s="403"/>
      <c r="KBQ20" s="403"/>
      <c r="KBR20" s="403"/>
      <c r="KBS20" s="403"/>
      <c r="KBT20" s="403"/>
      <c r="KBU20" s="403"/>
      <c r="KBV20" s="403"/>
      <c r="KBW20" s="403"/>
      <c r="KBX20" s="403"/>
      <c r="KBY20" s="403"/>
      <c r="KBZ20" s="403"/>
      <c r="KCA20" s="403"/>
      <c r="KCB20" s="403"/>
      <c r="KCC20" s="403"/>
      <c r="KCD20" s="403"/>
      <c r="KCE20" s="403"/>
      <c r="KCF20" s="403"/>
      <c r="KCG20" s="403" t="s">
        <v>99</v>
      </c>
      <c r="KCH20" s="403"/>
      <c r="KCI20" s="403"/>
      <c r="KCJ20" s="403"/>
      <c r="KCK20" s="403"/>
      <c r="KCL20" s="403"/>
      <c r="KCM20" s="403"/>
      <c r="KCN20" s="403"/>
      <c r="KCO20" s="403"/>
      <c r="KCP20" s="403"/>
      <c r="KCQ20" s="403"/>
      <c r="KCR20" s="403"/>
      <c r="KCS20" s="403"/>
      <c r="KCT20" s="403"/>
      <c r="KCU20" s="403"/>
      <c r="KCV20" s="403"/>
      <c r="KCW20" s="403"/>
      <c r="KCX20" s="403"/>
      <c r="KCY20" s="403"/>
      <c r="KCZ20" s="403"/>
      <c r="KDA20" s="403"/>
      <c r="KDB20" s="403"/>
      <c r="KDC20" s="403"/>
      <c r="KDD20" s="403"/>
      <c r="KDE20" s="403"/>
      <c r="KDF20" s="403"/>
      <c r="KDG20" s="403"/>
      <c r="KDH20" s="403"/>
      <c r="KDI20" s="403"/>
      <c r="KDJ20" s="403"/>
      <c r="KDK20" s="403"/>
      <c r="KDL20" s="403"/>
      <c r="KDM20" s="403" t="s">
        <v>99</v>
      </c>
      <c r="KDN20" s="403"/>
      <c r="KDO20" s="403"/>
      <c r="KDP20" s="403"/>
      <c r="KDQ20" s="403"/>
      <c r="KDR20" s="403"/>
      <c r="KDS20" s="403"/>
      <c r="KDT20" s="403"/>
      <c r="KDU20" s="403"/>
      <c r="KDV20" s="403"/>
      <c r="KDW20" s="403"/>
      <c r="KDX20" s="403"/>
      <c r="KDY20" s="403"/>
      <c r="KDZ20" s="403"/>
      <c r="KEA20" s="403"/>
      <c r="KEB20" s="403"/>
      <c r="KEC20" s="403"/>
      <c r="KED20" s="403"/>
      <c r="KEE20" s="403"/>
      <c r="KEF20" s="403"/>
      <c r="KEG20" s="403"/>
      <c r="KEH20" s="403"/>
      <c r="KEI20" s="403"/>
      <c r="KEJ20" s="403"/>
      <c r="KEK20" s="403"/>
      <c r="KEL20" s="403"/>
      <c r="KEM20" s="403"/>
      <c r="KEN20" s="403"/>
      <c r="KEO20" s="403"/>
      <c r="KEP20" s="403"/>
      <c r="KEQ20" s="403"/>
      <c r="KER20" s="403"/>
      <c r="KES20" s="403" t="s">
        <v>99</v>
      </c>
      <c r="KET20" s="403"/>
      <c r="KEU20" s="403"/>
      <c r="KEV20" s="403"/>
      <c r="KEW20" s="403"/>
      <c r="KEX20" s="403"/>
      <c r="KEY20" s="403"/>
      <c r="KEZ20" s="403"/>
      <c r="KFA20" s="403"/>
      <c r="KFB20" s="403"/>
      <c r="KFC20" s="403"/>
      <c r="KFD20" s="403"/>
      <c r="KFE20" s="403"/>
      <c r="KFF20" s="403"/>
      <c r="KFG20" s="403"/>
      <c r="KFH20" s="403"/>
      <c r="KFI20" s="403"/>
      <c r="KFJ20" s="403"/>
      <c r="KFK20" s="403"/>
      <c r="KFL20" s="403"/>
      <c r="KFM20" s="403"/>
      <c r="KFN20" s="403"/>
      <c r="KFO20" s="403"/>
      <c r="KFP20" s="403"/>
      <c r="KFQ20" s="403"/>
      <c r="KFR20" s="403"/>
      <c r="KFS20" s="403"/>
      <c r="KFT20" s="403"/>
      <c r="KFU20" s="403"/>
      <c r="KFV20" s="403"/>
      <c r="KFW20" s="403"/>
      <c r="KFX20" s="403"/>
      <c r="KFY20" s="403" t="s">
        <v>99</v>
      </c>
      <c r="KFZ20" s="403"/>
      <c r="KGA20" s="403"/>
      <c r="KGB20" s="403"/>
      <c r="KGC20" s="403"/>
      <c r="KGD20" s="403"/>
      <c r="KGE20" s="403"/>
      <c r="KGF20" s="403"/>
      <c r="KGG20" s="403"/>
      <c r="KGH20" s="403"/>
      <c r="KGI20" s="403"/>
      <c r="KGJ20" s="403"/>
      <c r="KGK20" s="403"/>
      <c r="KGL20" s="403"/>
      <c r="KGM20" s="403"/>
      <c r="KGN20" s="403"/>
      <c r="KGO20" s="403"/>
      <c r="KGP20" s="403"/>
      <c r="KGQ20" s="403"/>
      <c r="KGR20" s="403"/>
      <c r="KGS20" s="403"/>
      <c r="KGT20" s="403"/>
      <c r="KGU20" s="403"/>
      <c r="KGV20" s="403"/>
      <c r="KGW20" s="403"/>
      <c r="KGX20" s="403"/>
      <c r="KGY20" s="403"/>
      <c r="KGZ20" s="403"/>
      <c r="KHA20" s="403"/>
      <c r="KHB20" s="403"/>
      <c r="KHC20" s="403"/>
      <c r="KHD20" s="403"/>
      <c r="KHE20" s="403" t="s">
        <v>99</v>
      </c>
      <c r="KHF20" s="403"/>
      <c r="KHG20" s="403"/>
      <c r="KHH20" s="403"/>
      <c r="KHI20" s="403"/>
      <c r="KHJ20" s="403"/>
      <c r="KHK20" s="403"/>
      <c r="KHL20" s="403"/>
      <c r="KHM20" s="403"/>
      <c r="KHN20" s="403"/>
      <c r="KHO20" s="403"/>
      <c r="KHP20" s="403"/>
      <c r="KHQ20" s="403"/>
      <c r="KHR20" s="403"/>
      <c r="KHS20" s="403"/>
      <c r="KHT20" s="403"/>
      <c r="KHU20" s="403"/>
      <c r="KHV20" s="403"/>
      <c r="KHW20" s="403"/>
      <c r="KHX20" s="403"/>
      <c r="KHY20" s="403"/>
      <c r="KHZ20" s="403"/>
      <c r="KIA20" s="403"/>
      <c r="KIB20" s="403"/>
      <c r="KIC20" s="403"/>
      <c r="KID20" s="403"/>
      <c r="KIE20" s="403"/>
      <c r="KIF20" s="403"/>
      <c r="KIG20" s="403"/>
      <c r="KIH20" s="403"/>
      <c r="KII20" s="403"/>
      <c r="KIJ20" s="403"/>
      <c r="KIK20" s="403" t="s">
        <v>99</v>
      </c>
      <c r="KIL20" s="403"/>
      <c r="KIM20" s="403"/>
      <c r="KIN20" s="403"/>
      <c r="KIO20" s="403"/>
      <c r="KIP20" s="403"/>
      <c r="KIQ20" s="403"/>
      <c r="KIR20" s="403"/>
      <c r="KIS20" s="403"/>
      <c r="KIT20" s="403"/>
      <c r="KIU20" s="403"/>
      <c r="KIV20" s="403"/>
      <c r="KIW20" s="403"/>
      <c r="KIX20" s="403"/>
      <c r="KIY20" s="403"/>
      <c r="KIZ20" s="403"/>
      <c r="KJA20" s="403"/>
      <c r="KJB20" s="403"/>
      <c r="KJC20" s="403"/>
      <c r="KJD20" s="403"/>
      <c r="KJE20" s="403"/>
      <c r="KJF20" s="403"/>
      <c r="KJG20" s="403"/>
      <c r="KJH20" s="403"/>
      <c r="KJI20" s="403"/>
      <c r="KJJ20" s="403"/>
      <c r="KJK20" s="403"/>
      <c r="KJL20" s="403"/>
      <c r="KJM20" s="403"/>
      <c r="KJN20" s="403"/>
      <c r="KJO20" s="403"/>
      <c r="KJP20" s="403"/>
      <c r="KJQ20" s="403" t="s">
        <v>99</v>
      </c>
      <c r="KJR20" s="403"/>
      <c r="KJS20" s="403"/>
      <c r="KJT20" s="403"/>
      <c r="KJU20" s="403"/>
      <c r="KJV20" s="403"/>
      <c r="KJW20" s="403"/>
      <c r="KJX20" s="403"/>
      <c r="KJY20" s="403"/>
      <c r="KJZ20" s="403"/>
      <c r="KKA20" s="403"/>
      <c r="KKB20" s="403"/>
      <c r="KKC20" s="403"/>
      <c r="KKD20" s="403"/>
      <c r="KKE20" s="403"/>
      <c r="KKF20" s="403"/>
      <c r="KKG20" s="403"/>
      <c r="KKH20" s="403"/>
      <c r="KKI20" s="403"/>
      <c r="KKJ20" s="403"/>
      <c r="KKK20" s="403"/>
      <c r="KKL20" s="403"/>
      <c r="KKM20" s="403"/>
      <c r="KKN20" s="403"/>
      <c r="KKO20" s="403"/>
      <c r="KKP20" s="403"/>
      <c r="KKQ20" s="403"/>
      <c r="KKR20" s="403"/>
      <c r="KKS20" s="403"/>
      <c r="KKT20" s="403"/>
      <c r="KKU20" s="403"/>
      <c r="KKV20" s="403"/>
      <c r="KKW20" s="403" t="s">
        <v>99</v>
      </c>
      <c r="KKX20" s="403"/>
      <c r="KKY20" s="403"/>
      <c r="KKZ20" s="403"/>
      <c r="KLA20" s="403"/>
      <c r="KLB20" s="403"/>
      <c r="KLC20" s="403"/>
      <c r="KLD20" s="403"/>
      <c r="KLE20" s="403"/>
      <c r="KLF20" s="403"/>
      <c r="KLG20" s="403"/>
      <c r="KLH20" s="403"/>
      <c r="KLI20" s="403"/>
      <c r="KLJ20" s="403"/>
      <c r="KLK20" s="403"/>
      <c r="KLL20" s="403"/>
      <c r="KLM20" s="403"/>
      <c r="KLN20" s="403"/>
      <c r="KLO20" s="403"/>
      <c r="KLP20" s="403"/>
      <c r="KLQ20" s="403"/>
      <c r="KLR20" s="403"/>
      <c r="KLS20" s="403"/>
      <c r="KLT20" s="403"/>
      <c r="KLU20" s="403"/>
      <c r="KLV20" s="403"/>
      <c r="KLW20" s="403"/>
      <c r="KLX20" s="403"/>
      <c r="KLY20" s="403"/>
      <c r="KLZ20" s="403"/>
      <c r="KMA20" s="403"/>
      <c r="KMB20" s="403"/>
      <c r="KMC20" s="403" t="s">
        <v>99</v>
      </c>
      <c r="KMD20" s="403"/>
      <c r="KME20" s="403"/>
      <c r="KMF20" s="403"/>
      <c r="KMG20" s="403"/>
      <c r="KMH20" s="403"/>
      <c r="KMI20" s="403"/>
      <c r="KMJ20" s="403"/>
      <c r="KMK20" s="403"/>
      <c r="KML20" s="403"/>
      <c r="KMM20" s="403"/>
      <c r="KMN20" s="403"/>
      <c r="KMO20" s="403"/>
      <c r="KMP20" s="403"/>
      <c r="KMQ20" s="403"/>
      <c r="KMR20" s="403"/>
      <c r="KMS20" s="403"/>
      <c r="KMT20" s="403"/>
      <c r="KMU20" s="403"/>
      <c r="KMV20" s="403"/>
      <c r="KMW20" s="403"/>
      <c r="KMX20" s="403"/>
      <c r="KMY20" s="403"/>
      <c r="KMZ20" s="403"/>
      <c r="KNA20" s="403"/>
      <c r="KNB20" s="403"/>
      <c r="KNC20" s="403"/>
      <c r="KND20" s="403"/>
      <c r="KNE20" s="403"/>
      <c r="KNF20" s="403"/>
      <c r="KNG20" s="403"/>
      <c r="KNH20" s="403"/>
      <c r="KNI20" s="403" t="s">
        <v>99</v>
      </c>
      <c r="KNJ20" s="403"/>
      <c r="KNK20" s="403"/>
      <c r="KNL20" s="403"/>
      <c r="KNM20" s="403"/>
      <c r="KNN20" s="403"/>
      <c r="KNO20" s="403"/>
      <c r="KNP20" s="403"/>
      <c r="KNQ20" s="403"/>
      <c r="KNR20" s="403"/>
      <c r="KNS20" s="403"/>
      <c r="KNT20" s="403"/>
      <c r="KNU20" s="403"/>
      <c r="KNV20" s="403"/>
      <c r="KNW20" s="403"/>
      <c r="KNX20" s="403"/>
      <c r="KNY20" s="403"/>
      <c r="KNZ20" s="403"/>
      <c r="KOA20" s="403"/>
      <c r="KOB20" s="403"/>
      <c r="KOC20" s="403"/>
      <c r="KOD20" s="403"/>
      <c r="KOE20" s="403"/>
      <c r="KOF20" s="403"/>
      <c r="KOG20" s="403"/>
      <c r="KOH20" s="403"/>
      <c r="KOI20" s="403"/>
      <c r="KOJ20" s="403"/>
      <c r="KOK20" s="403"/>
      <c r="KOL20" s="403"/>
      <c r="KOM20" s="403"/>
      <c r="KON20" s="403"/>
      <c r="KOO20" s="403" t="s">
        <v>99</v>
      </c>
      <c r="KOP20" s="403"/>
      <c r="KOQ20" s="403"/>
      <c r="KOR20" s="403"/>
      <c r="KOS20" s="403"/>
      <c r="KOT20" s="403"/>
      <c r="KOU20" s="403"/>
      <c r="KOV20" s="403"/>
      <c r="KOW20" s="403"/>
      <c r="KOX20" s="403"/>
      <c r="KOY20" s="403"/>
      <c r="KOZ20" s="403"/>
      <c r="KPA20" s="403"/>
      <c r="KPB20" s="403"/>
      <c r="KPC20" s="403"/>
      <c r="KPD20" s="403"/>
      <c r="KPE20" s="403"/>
      <c r="KPF20" s="403"/>
      <c r="KPG20" s="403"/>
      <c r="KPH20" s="403"/>
      <c r="KPI20" s="403"/>
      <c r="KPJ20" s="403"/>
      <c r="KPK20" s="403"/>
      <c r="KPL20" s="403"/>
      <c r="KPM20" s="403"/>
      <c r="KPN20" s="403"/>
      <c r="KPO20" s="403"/>
      <c r="KPP20" s="403"/>
      <c r="KPQ20" s="403"/>
      <c r="KPR20" s="403"/>
      <c r="KPS20" s="403"/>
      <c r="KPT20" s="403"/>
      <c r="KPU20" s="403" t="s">
        <v>99</v>
      </c>
      <c r="KPV20" s="403"/>
      <c r="KPW20" s="403"/>
      <c r="KPX20" s="403"/>
      <c r="KPY20" s="403"/>
      <c r="KPZ20" s="403"/>
      <c r="KQA20" s="403"/>
      <c r="KQB20" s="403"/>
      <c r="KQC20" s="403"/>
      <c r="KQD20" s="403"/>
      <c r="KQE20" s="403"/>
      <c r="KQF20" s="403"/>
      <c r="KQG20" s="403"/>
      <c r="KQH20" s="403"/>
      <c r="KQI20" s="403"/>
      <c r="KQJ20" s="403"/>
      <c r="KQK20" s="403"/>
      <c r="KQL20" s="403"/>
      <c r="KQM20" s="403"/>
      <c r="KQN20" s="403"/>
      <c r="KQO20" s="403"/>
      <c r="KQP20" s="403"/>
      <c r="KQQ20" s="403"/>
      <c r="KQR20" s="403"/>
      <c r="KQS20" s="403"/>
      <c r="KQT20" s="403"/>
      <c r="KQU20" s="403"/>
      <c r="KQV20" s="403"/>
      <c r="KQW20" s="403"/>
      <c r="KQX20" s="403"/>
      <c r="KQY20" s="403"/>
      <c r="KQZ20" s="403"/>
      <c r="KRA20" s="403" t="s">
        <v>99</v>
      </c>
      <c r="KRB20" s="403"/>
      <c r="KRC20" s="403"/>
      <c r="KRD20" s="403"/>
      <c r="KRE20" s="403"/>
      <c r="KRF20" s="403"/>
      <c r="KRG20" s="403"/>
      <c r="KRH20" s="403"/>
      <c r="KRI20" s="403"/>
      <c r="KRJ20" s="403"/>
      <c r="KRK20" s="403"/>
      <c r="KRL20" s="403"/>
      <c r="KRM20" s="403"/>
      <c r="KRN20" s="403"/>
      <c r="KRO20" s="403"/>
      <c r="KRP20" s="403"/>
      <c r="KRQ20" s="403"/>
      <c r="KRR20" s="403"/>
      <c r="KRS20" s="403"/>
      <c r="KRT20" s="403"/>
      <c r="KRU20" s="403"/>
      <c r="KRV20" s="403"/>
      <c r="KRW20" s="403"/>
      <c r="KRX20" s="403"/>
      <c r="KRY20" s="403"/>
      <c r="KRZ20" s="403"/>
      <c r="KSA20" s="403"/>
      <c r="KSB20" s="403"/>
      <c r="KSC20" s="403"/>
      <c r="KSD20" s="403"/>
      <c r="KSE20" s="403"/>
      <c r="KSF20" s="403"/>
      <c r="KSG20" s="403" t="s">
        <v>99</v>
      </c>
      <c r="KSH20" s="403"/>
      <c r="KSI20" s="403"/>
      <c r="KSJ20" s="403"/>
      <c r="KSK20" s="403"/>
      <c r="KSL20" s="403"/>
      <c r="KSM20" s="403"/>
      <c r="KSN20" s="403"/>
      <c r="KSO20" s="403"/>
      <c r="KSP20" s="403"/>
      <c r="KSQ20" s="403"/>
      <c r="KSR20" s="403"/>
      <c r="KSS20" s="403"/>
      <c r="KST20" s="403"/>
      <c r="KSU20" s="403"/>
      <c r="KSV20" s="403"/>
      <c r="KSW20" s="403"/>
      <c r="KSX20" s="403"/>
      <c r="KSY20" s="403"/>
      <c r="KSZ20" s="403"/>
      <c r="KTA20" s="403"/>
      <c r="KTB20" s="403"/>
      <c r="KTC20" s="403"/>
      <c r="KTD20" s="403"/>
      <c r="KTE20" s="403"/>
      <c r="KTF20" s="403"/>
      <c r="KTG20" s="403"/>
      <c r="KTH20" s="403"/>
      <c r="KTI20" s="403"/>
      <c r="KTJ20" s="403"/>
      <c r="KTK20" s="403"/>
      <c r="KTL20" s="403"/>
      <c r="KTM20" s="403" t="s">
        <v>99</v>
      </c>
      <c r="KTN20" s="403"/>
      <c r="KTO20" s="403"/>
      <c r="KTP20" s="403"/>
      <c r="KTQ20" s="403"/>
      <c r="KTR20" s="403"/>
      <c r="KTS20" s="403"/>
      <c r="KTT20" s="403"/>
      <c r="KTU20" s="403"/>
      <c r="KTV20" s="403"/>
      <c r="KTW20" s="403"/>
      <c r="KTX20" s="403"/>
      <c r="KTY20" s="403"/>
      <c r="KTZ20" s="403"/>
      <c r="KUA20" s="403"/>
      <c r="KUB20" s="403"/>
      <c r="KUC20" s="403"/>
      <c r="KUD20" s="403"/>
      <c r="KUE20" s="403"/>
      <c r="KUF20" s="403"/>
      <c r="KUG20" s="403"/>
      <c r="KUH20" s="403"/>
      <c r="KUI20" s="403"/>
      <c r="KUJ20" s="403"/>
      <c r="KUK20" s="403"/>
      <c r="KUL20" s="403"/>
      <c r="KUM20" s="403"/>
      <c r="KUN20" s="403"/>
      <c r="KUO20" s="403"/>
      <c r="KUP20" s="403"/>
      <c r="KUQ20" s="403"/>
      <c r="KUR20" s="403"/>
      <c r="KUS20" s="403" t="s">
        <v>99</v>
      </c>
      <c r="KUT20" s="403"/>
      <c r="KUU20" s="403"/>
      <c r="KUV20" s="403"/>
      <c r="KUW20" s="403"/>
      <c r="KUX20" s="403"/>
      <c r="KUY20" s="403"/>
      <c r="KUZ20" s="403"/>
      <c r="KVA20" s="403"/>
      <c r="KVB20" s="403"/>
      <c r="KVC20" s="403"/>
      <c r="KVD20" s="403"/>
      <c r="KVE20" s="403"/>
      <c r="KVF20" s="403"/>
      <c r="KVG20" s="403"/>
      <c r="KVH20" s="403"/>
      <c r="KVI20" s="403"/>
      <c r="KVJ20" s="403"/>
      <c r="KVK20" s="403"/>
      <c r="KVL20" s="403"/>
      <c r="KVM20" s="403"/>
      <c r="KVN20" s="403"/>
      <c r="KVO20" s="403"/>
      <c r="KVP20" s="403"/>
      <c r="KVQ20" s="403"/>
      <c r="KVR20" s="403"/>
      <c r="KVS20" s="403"/>
      <c r="KVT20" s="403"/>
      <c r="KVU20" s="403"/>
      <c r="KVV20" s="403"/>
      <c r="KVW20" s="403"/>
      <c r="KVX20" s="403"/>
      <c r="KVY20" s="403" t="s">
        <v>99</v>
      </c>
      <c r="KVZ20" s="403"/>
      <c r="KWA20" s="403"/>
      <c r="KWB20" s="403"/>
      <c r="KWC20" s="403"/>
      <c r="KWD20" s="403"/>
      <c r="KWE20" s="403"/>
      <c r="KWF20" s="403"/>
      <c r="KWG20" s="403"/>
      <c r="KWH20" s="403"/>
      <c r="KWI20" s="403"/>
      <c r="KWJ20" s="403"/>
      <c r="KWK20" s="403"/>
      <c r="KWL20" s="403"/>
      <c r="KWM20" s="403"/>
      <c r="KWN20" s="403"/>
      <c r="KWO20" s="403"/>
      <c r="KWP20" s="403"/>
      <c r="KWQ20" s="403"/>
      <c r="KWR20" s="403"/>
      <c r="KWS20" s="403"/>
      <c r="KWT20" s="403"/>
      <c r="KWU20" s="403"/>
      <c r="KWV20" s="403"/>
      <c r="KWW20" s="403"/>
      <c r="KWX20" s="403"/>
      <c r="KWY20" s="403"/>
      <c r="KWZ20" s="403"/>
      <c r="KXA20" s="403"/>
      <c r="KXB20" s="403"/>
      <c r="KXC20" s="403"/>
      <c r="KXD20" s="403"/>
      <c r="KXE20" s="403" t="s">
        <v>99</v>
      </c>
      <c r="KXF20" s="403"/>
      <c r="KXG20" s="403"/>
      <c r="KXH20" s="403"/>
      <c r="KXI20" s="403"/>
      <c r="KXJ20" s="403"/>
      <c r="KXK20" s="403"/>
      <c r="KXL20" s="403"/>
      <c r="KXM20" s="403"/>
      <c r="KXN20" s="403"/>
      <c r="KXO20" s="403"/>
      <c r="KXP20" s="403"/>
      <c r="KXQ20" s="403"/>
      <c r="KXR20" s="403"/>
      <c r="KXS20" s="403"/>
      <c r="KXT20" s="403"/>
      <c r="KXU20" s="403"/>
      <c r="KXV20" s="403"/>
      <c r="KXW20" s="403"/>
      <c r="KXX20" s="403"/>
      <c r="KXY20" s="403"/>
      <c r="KXZ20" s="403"/>
      <c r="KYA20" s="403"/>
      <c r="KYB20" s="403"/>
      <c r="KYC20" s="403"/>
      <c r="KYD20" s="403"/>
      <c r="KYE20" s="403"/>
      <c r="KYF20" s="403"/>
      <c r="KYG20" s="403"/>
      <c r="KYH20" s="403"/>
      <c r="KYI20" s="403"/>
      <c r="KYJ20" s="403"/>
      <c r="KYK20" s="403" t="s">
        <v>99</v>
      </c>
      <c r="KYL20" s="403"/>
      <c r="KYM20" s="403"/>
      <c r="KYN20" s="403"/>
      <c r="KYO20" s="403"/>
      <c r="KYP20" s="403"/>
      <c r="KYQ20" s="403"/>
      <c r="KYR20" s="403"/>
      <c r="KYS20" s="403"/>
      <c r="KYT20" s="403"/>
      <c r="KYU20" s="403"/>
      <c r="KYV20" s="403"/>
      <c r="KYW20" s="403"/>
      <c r="KYX20" s="403"/>
      <c r="KYY20" s="403"/>
      <c r="KYZ20" s="403"/>
      <c r="KZA20" s="403"/>
      <c r="KZB20" s="403"/>
      <c r="KZC20" s="403"/>
      <c r="KZD20" s="403"/>
      <c r="KZE20" s="403"/>
      <c r="KZF20" s="403"/>
      <c r="KZG20" s="403"/>
      <c r="KZH20" s="403"/>
      <c r="KZI20" s="403"/>
      <c r="KZJ20" s="403"/>
      <c r="KZK20" s="403"/>
      <c r="KZL20" s="403"/>
      <c r="KZM20" s="403"/>
      <c r="KZN20" s="403"/>
      <c r="KZO20" s="403"/>
      <c r="KZP20" s="403"/>
      <c r="KZQ20" s="403" t="s">
        <v>99</v>
      </c>
      <c r="KZR20" s="403"/>
      <c r="KZS20" s="403"/>
      <c r="KZT20" s="403"/>
      <c r="KZU20" s="403"/>
      <c r="KZV20" s="403"/>
      <c r="KZW20" s="403"/>
      <c r="KZX20" s="403"/>
      <c r="KZY20" s="403"/>
      <c r="KZZ20" s="403"/>
      <c r="LAA20" s="403"/>
      <c r="LAB20" s="403"/>
      <c r="LAC20" s="403"/>
      <c r="LAD20" s="403"/>
      <c r="LAE20" s="403"/>
      <c r="LAF20" s="403"/>
      <c r="LAG20" s="403"/>
      <c r="LAH20" s="403"/>
      <c r="LAI20" s="403"/>
      <c r="LAJ20" s="403"/>
      <c r="LAK20" s="403"/>
      <c r="LAL20" s="403"/>
      <c r="LAM20" s="403"/>
      <c r="LAN20" s="403"/>
      <c r="LAO20" s="403"/>
      <c r="LAP20" s="403"/>
      <c r="LAQ20" s="403"/>
      <c r="LAR20" s="403"/>
      <c r="LAS20" s="403"/>
      <c r="LAT20" s="403"/>
      <c r="LAU20" s="403"/>
      <c r="LAV20" s="403"/>
      <c r="LAW20" s="403" t="s">
        <v>99</v>
      </c>
      <c r="LAX20" s="403"/>
      <c r="LAY20" s="403"/>
      <c r="LAZ20" s="403"/>
      <c r="LBA20" s="403"/>
      <c r="LBB20" s="403"/>
      <c r="LBC20" s="403"/>
      <c r="LBD20" s="403"/>
      <c r="LBE20" s="403"/>
      <c r="LBF20" s="403"/>
      <c r="LBG20" s="403"/>
      <c r="LBH20" s="403"/>
      <c r="LBI20" s="403"/>
      <c r="LBJ20" s="403"/>
      <c r="LBK20" s="403"/>
      <c r="LBL20" s="403"/>
      <c r="LBM20" s="403"/>
      <c r="LBN20" s="403"/>
      <c r="LBO20" s="403"/>
      <c r="LBP20" s="403"/>
      <c r="LBQ20" s="403"/>
      <c r="LBR20" s="403"/>
      <c r="LBS20" s="403"/>
      <c r="LBT20" s="403"/>
      <c r="LBU20" s="403"/>
      <c r="LBV20" s="403"/>
      <c r="LBW20" s="403"/>
      <c r="LBX20" s="403"/>
      <c r="LBY20" s="403"/>
      <c r="LBZ20" s="403"/>
      <c r="LCA20" s="403"/>
      <c r="LCB20" s="403"/>
      <c r="LCC20" s="403" t="s">
        <v>99</v>
      </c>
      <c r="LCD20" s="403"/>
      <c r="LCE20" s="403"/>
      <c r="LCF20" s="403"/>
      <c r="LCG20" s="403"/>
      <c r="LCH20" s="403"/>
      <c r="LCI20" s="403"/>
      <c r="LCJ20" s="403"/>
      <c r="LCK20" s="403"/>
      <c r="LCL20" s="403"/>
      <c r="LCM20" s="403"/>
      <c r="LCN20" s="403"/>
      <c r="LCO20" s="403"/>
      <c r="LCP20" s="403"/>
      <c r="LCQ20" s="403"/>
      <c r="LCR20" s="403"/>
      <c r="LCS20" s="403"/>
      <c r="LCT20" s="403"/>
      <c r="LCU20" s="403"/>
      <c r="LCV20" s="403"/>
      <c r="LCW20" s="403"/>
      <c r="LCX20" s="403"/>
      <c r="LCY20" s="403"/>
      <c r="LCZ20" s="403"/>
      <c r="LDA20" s="403"/>
      <c r="LDB20" s="403"/>
      <c r="LDC20" s="403"/>
      <c r="LDD20" s="403"/>
      <c r="LDE20" s="403"/>
      <c r="LDF20" s="403"/>
      <c r="LDG20" s="403"/>
      <c r="LDH20" s="403"/>
      <c r="LDI20" s="403" t="s">
        <v>99</v>
      </c>
      <c r="LDJ20" s="403"/>
      <c r="LDK20" s="403"/>
      <c r="LDL20" s="403"/>
      <c r="LDM20" s="403"/>
      <c r="LDN20" s="403"/>
      <c r="LDO20" s="403"/>
      <c r="LDP20" s="403"/>
      <c r="LDQ20" s="403"/>
      <c r="LDR20" s="403"/>
      <c r="LDS20" s="403"/>
      <c r="LDT20" s="403"/>
      <c r="LDU20" s="403"/>
      <c r="LDV20" s="403"/>
      <c r="LDW20" s="403"/>
      <c r="LDX20" s="403"/>
      <c r="LDY20" s="403"/>
      <c r="LDZ20" s="403"/>
      <c r="LEA20" s="403"/>
      <c r="LEB20" s="403"/>
      <c r="LEC20" s="403"/>
      <c r="LED20" s="403"/>
      <c r="LEE20" s="403"/>
      <c r="LEF20" s="403"/>
      <c r="LEG20" s="403"/>
      <c r="LEH20" s="403"/>
      <c r="LEI20" s="403"/>
      <c r="LEJ20" s="403"/>
      <c r="LEK20" s="403"/>
      <c r="LEL20" s="403"/>
      <c r="LEM20" s="403"/>
      <c r="LEN20" s="403"/>
      <c r="LEO20" s="403" t="s">
        <v>99</v>
      </c>
      <c r="LEP20" s="403"/>
      <c r="LEQ20" s="403"/>
      <c r="LER20" s="403"/>
      <c r="LES20" s="403"/>
      <c r="LET20" s="403"/>
      <c r="LEU20" s="403"/>
      <c r="LEV20" s="403"/>
      <c r="LEW20" s="403"/>
      <c r="LEX20" s="403"/>
      <c r="LEY20" s="403"/>
      <c r="LEZ20" s="403"/>
      <c r="LFA20" s="403"/>
      <c r="LFB20" s="403"/>
      <c r="LFC20" s="403"/>
      <c r="LFD20" s="403"/>
      <c r="LFE20" s="403"/>
      <c r="LFF20" s="403"/>
      <c r="LFG20" s="403"/>
      <c r="LFH20" s="403"/>
      <c r="LFI20" s="403"/>
      <c r="LFJ20" s="403"/>
      <c r="LFK20" s="403"/>
      <c r="LFL20" s="403"/>
      <c r="LFM20" s="403"/>
      <c r="LFN20" s="403"/>
      <c r="LFO20" s="403"/>
      <c r="LFP20" s="403"/>
      <c r="LFQ20" s="403"/>
      <c r="LFR20" s="403"/>
      <c r="LFS20" s="403"/>
      <c r="LFT20" s="403"/>
      <c r="LFU20" s="403" t="s">
        <v>99</v>
      </c>
      <c r="LFV20" s="403"/>
      <c r="LFW20" s="403"/>
      <c r="LFX20" s="403"/>
      <c r="LFY20" s="403"/>
      <c r="LFZ20" s="403"/>
      <c r="LGA20" s="403"/>
      <c r="LGB20" s="403"/>
      <c r="LGC20" s="403"/>
      <c r="LGD20" s="403"/>
      <c r="LGE20" s="403"/>
      <c r="LGF20" s="403"/>
      <c r="LGG20" s="403"/>
      <c r="LGH20" s="403"/>
      <c r="LGI20" s="403"/>
      <c r="LGJ20" s="403"/>
      <c r="LGK20" s="403"/>
      <c r="LGL20" s="403"/>
      <c r="LGM20" s="403"/>
      <c r="LGN20" s="403"/>
      <c r="LGO20" s="403"/>
      <c r="LGP20" s="403"/>
      <c r="LGQ20" s="403"/>
      <c r="LGR20" s="403"/>
      <c r="LGS20" s="403"/>
      <c r="LGT20" s="403"/>
      <c r="LGU20" s="403"/>
      <c r="LGV20" s="403"/>
      <c r="LGW20" s="403"/>
      <c r="LGX20" s="403"/>
      <c r="LGY20" s="403"/>
      <c r="LGZ20" s="403"/>
      <c r="LHA20" s="403" t="s">
        <v>99</v>
      </c>
      <c r="LHB20" s="403"/>
      <c r="LHC20" s="403"/>
      <c r="LHD20" s="403"/>
      <c r="LHE20" s="403"/>
      <c r="LHF20" s="403"/>
      <c r="LHG20" s="403"/>
      <c r="LHH20" s="403"/>
      <c r="LHI20" s="403"/>
      <c r="LHJ20" s="403"/>
      <c r="LHK20" s="403"/>
      <c r="LHL20" s="403"/>
      <c r="LHM20" s="403"/>
      <c r="LHN20" s="403"/>
      <c r="LHO20" s="403"/>
      <c r="LHP20" s="403"/>
      <c r="LHQ20" s="403"/>
      <c r="LHR20" s="403"/>
      <c r="LHS20" s="403"/>
      <c r="LHT20" s="403"/>
      <c r="LHU20" s="403"/>
      <c r="LHV20" s="403"/>
      <c r="LHW20" s="403"/>
      <c r="LHX20" s="403"/>
      <c r="LHY20" s="403"/>
      <c r="LHZ20" s="403"/>
      <c r="LIA20" s="403"/>
      <c r="LIB20" s="403"/>
      <c r="LIC20" s="403"/>
      <c r="LID20" s="403"/>
      <c r="LIE20" s="403"/>
      <c r="LIF20" s="403"/>
      <c r="LIG20" s="403" t="s">
        <v>99</v>
      </c>
      <c r="LIH20" s="403"/>
      <c r="LII20" s="403"/>
      <c r="LIJ20" s="403"/>
      <c r="LIK20" s="403"/>
      <c r="LIL20" s="403"/>
      <c r="LIM20" s="403"/>
      <c r="LIN20" s="403"/>
      <c r="LIO20" s="403"/>
      <c r="LIP20" s="403"/>
      <c r="LIQ20" s="403"/>
      <c r="LIR20" s="403"/>
      <c r="LIS20" s="403"/>
      <c r="LIT20" s="403"/>
      <c r="LIU20" s="403"/>
      <c r="LIV20" s="403"/>
      <c r="LIW20" s="403"/>
      <c r="LIX20" s="403"/>
      <c r="LIY20" s="403"/>
      <c r="LIZ20" s="403"/>
      <c r="LJA20" s="403"/>
      <c r="LJB20" s="403"/>
      <c r="LJC20" s="403"/>
      <c r="LJD20" s="403"/>
      <c r="LJE20" s="403"/>
      <c r="LJF20" s="403"/>
      <c r="LJG20" s="403"/>
      <c r="LJH20" s="403"/>
      <c r="LJI20" s="403"/>
      <c r="LJJ20" s="403"/>
      <c r="LJK20" s="403"/>
      <c r="LJL20" s="403"/>
      <c r="LJM20" s="403" t="s">
        <v>99</v>
      </c>
      <c r="LJN20" s="403"/>
      <c r="LJO20" s="403"/>
      <c r="LJP20" s="403"/>
      <c r="LJQ20" s="403"/>
      <c r="LJR20" s="403"/>
      <c r="LJS20" s="403"/>
      <c r="LJT20" s="403"/>
      <c r="LJU20" s="403"/>
      <c r="LJV20" s="403"/>
      <c r="LJW20" s="403"/>
      <c r="LJX20" s="403"/>
      <c r="LJY20" s="403"/>
      <c r="LJZ20" s="403"/>
      <c r="LKA20" s="403"/>
      <c r="LKB20" s="403"/>
      <c r="LKC20" s="403"/>
      <c r="LKD20" s="403"/>
      <c r="LKE20" s="403"/>
      <c r="LKF20" s="403"/>
      <c r="LKG20" s="403"/>
      <c r="LKH20" s="403"/>
      <c r="LKI20" s="403"/>
      <c r="LKJ20" s="403"/>
      <c r="LKK20" s="403"/>
      <c r="LKL20" s="403"/>
      <c r="LKM20" s="403"/>
      <c r="LKN20" s="403"/>
      <c r="LKO20" s="403"/>
      <c r="LKP20" s="403"/>
      <c r="LKQ20" s="403"/>
      <c r="LKR20" s="403"/>
      <c r="LKS20" s="403" t="s">
        <v>99</v>
      </c>
      <c r="LKT20" s="403"/>
      <c r="LKU20" s="403"/>
      <c r="LKV20" s="403"/>
      <c r="LKW20" s="403"/>
      <c r="LKX20" s="403"/>
      <c r="LKY20" s="403"/>
      <c r="LKZ20" s="403"/>
      <c r="LLA20" s="403"/>
      <c r="LLB20" s="403"/>
      <c r="LLC20" s="403"/>
      <c r="LLD20" s="403"/>
      <c r="LLE20" s="403"/>
      <c r="LLF20" s="403"/>
      <c r="LLG20" s="403"/>
      <c r="LLH20" s="403"/>
      <c r="LLI20" s="403"/>
      <c r="LLJ20" s="403"/>
      <c r="LLK20" s="403"/>
      <c r="LLL20" s="403"/>
      <c r="LLM20" s="403"/>
      <c r="LLN20" s="403"/>
      <c r="LLO20" s="403"/>
      <c r="LLP20" s="403"/>
      <c r="LLQ20" s="403"/>
      <c r="LLR20" s="403"/>
      <c r="LLS20" s="403"/>
      <c r="LLT20" s="403"/>
      <c r="LLU20" s="403"/>
      <c r="LLV20" s="403"/>
      <c r="LLW20" s="403"/>
      <c r="LLX20" s="403"/>
      <c r="LLY20" s="403" t="s">
        <v>99</v>
      </c>
      <c r="LLZ20" s="403"/>
      <c r="LMA20" s="403"/>
      <c r="LMB20" s="403"/>
      <c r="LMC20" s="403"/>
      <c r="LMD20" s="403"/>
      <c r="LME20" s="403"/>
      <c r="LMF20" s="403"/>
      <c r="LMG20" s="403"/>
      <c r="LMH20" s="403"/>
      <c r="LMI20" s="403"/>
      <c r="LMJ20" s="403"/>
      <c r="LMK20" s="403"/>
      <c r="LML20" s="403"/>
      <c r="LMM20" s="403"/>
      <c r="LMN20" s="403"/>
      <c r="LMO20" s="403"/>
      <c r="LMP20" s="403"/>
      <c r="LMQ20" s="403"/>
      <c r="LMR20" s="403"/>
      <c r="LMS20" s="403"/>
      <c r="LMT20" s="403"/>
      <c r="LMU20" s="403"/>
      <c r="LMV20" s="403"/>
      <c r="LMW20" s="403"/>
      <c r="LMX20" s="403"/>
      <c r="LMY20" s="403"/>
      <c r="LMZ20" s="403"/>
      <c r="LNA20" s="403"/>
      <c r="LNB20" s="403"/>
      <c r="LNC20" s="403"/>
      <c r="LND20" s="403"/>
      <c r="LNE20" s="403" t="s">
        <v>99</v>
      </c>
      <c r="LNF20" s="403"/>
      <c r="LNG20" s="403"/>
      <c r="LNH20" s="403"/>
      <c r="LNI20" s="403"/>
      <c r="LNJ20" s="403"/>
      <c r="LNK20" s="403"/>
      <c r="LNL20" s="403"/>
      <c r="LNM20" s="403"/>
      <c r="LNN20" s="403"/>
      <c r="LNO20" s="403"/>
      <c r="LNP20" s="403"/>
      <c r="LNQ20" s="403"/>
      <c r="LNR20" s="403"/>
      <c r="LNS20" s="403"/>
      <c r="LNT20" s="403"/>
      <c r="LNU20" s="403"/>
      <c r="LNV20" s="403"/>
      <c r="LNW20" s="403"/>
      <c r="LNX20" s="403"/>
      <c r="LNY20" s="403"/>
      <c r="LNZ20" s="403"/>
      <c r="LOA20" s="403"/>
      <c r="LOB20" s="403"/>
      <c r="LOC20" s="403"/>
      <c r="LOD20" s="403"/>
      <c r="LOE20" s="403"/>
      <c r="LOF20" s="403"/>
      <c r="LOG20" s="403"/>
      <c r="LOH20" s="403"/>
      <c r="LOI20" s="403"/>
      <c r="LOJ20" s="403"/>
      <c r="LOK20" s="403" t="s">
        <v>99</v>
      </c>
      <c r="LOL20" s="403"/>
      <c r="LOM20" s="403"/>
      <c r="LON20" s="403"/>
      <c r="LOO20" s="403"/>
      <c r="LOP20" s="403"/>
      <c r="LOQ20" s="403"/>
      <c r="LOR20" s="403"/>
      <c r="LOS20" s="403"/>
      <c r="LOT20" s="403"/>
      <c r="LOU20" s="403"/>
      <c r="LOV20" s="403"/>
      <c r="LOW20" s="403"/>
      <c r="LOX20" s="403"/>
      <c r="LOY20" s="403"/>
      <c r="LOZ20" s="403"/>
      <c r="LPA20" s="403"/>
      <c r="LPB20" s="403"/>
      <c r="LPC20" s="403"/>
      <c r="LPD20" s="403"/>
      <c r="LPE20" s="403"/>
      <c r="LPF20" s="403"/>
      <c r="LPG20" s="403"/>
      <c r="LPH20" s="403"/>
      <c r="LPI20" s="403"/>
      <c r="LPJ20" s="403"/>
      <c r="LPK20" s="403"/>
      <c r="LPL20" s="403"/>
      <c r="LPM20" s="403"/>
      <c r="LPN20" s="403"/>
      <c r="LPO20" s="403"/>
      <c r="LPP20" s="403"/>
      <c r="LPQ20" s="403" t="s">
        <v>99</v>
      </c>
      <c r="LPR20" s="403"/>
      <c r="LPS20" s="403"/>
      <c r="LPT20" s="403"/>
      <c r="LPU20" s="403"/>
      <c r="LPV20" s="403"/>
      <c r="LPW20" s="403"/>
      <c r="LPX20" s="403"/>
      <c r="LPY20" s="403"/>
      <c r="LPZ20" s="403"/>
      <c r="LQA20" s="403"/>
      <c r="LQB20" s="403"/>
      <c r="LQC20" s="403"/>
      <c r="LQD20" s="403"/>
      <c r="LQE20" s="403"/>
      <c r="LQF20" s="403"/>
      <c r="LQG20" s="403"/>
      <c r="LQH20" s="403"/>
      <c r="LQI20" s="403"/>
      <c r="LQJ20" s="403"/>
      <c r="LQK20" s="403"/>
      <c r="LQL20" s="403"/>
      <c r="LQM20" s="403"/>
      <c r="LQN20" s="403"/>
      <c r="LQO20" s="403"/>
      <c r="LQP20" s="403"/>
      <c r="LQQ20" s="403"/>
      <c r="LQR20" s="403"/>
      <c r="LQS20" s="403"/>
      <c r="LQT20" s="403"/>
      <c r="LQU20" s="403"/>
      <c r="LQV20" s="403"/>
      <c r="LQW20" s="403" t="s">
        <v>99</v>
      </c>
      <c r="LQX20" s="403"/>
      <c r="LQY20" s="403"/>
      <c r="LQZ20" s="403"/>
      <c r="LRA20" s="403"/>
      <c r="LRB20" s="403"/>
      <c r="LRC20" s="403"/>
      <c r="LRD20" s="403"/>
      <c r="LRE20" s="403"/>
      <c r="LRF20" s="403"/>
      <c r="LRG20" s="403"/>
      <c r="LRH20" s="403"/>
      <c r="LRI20" s="403"/>
      <c r="LRJ20" s="403"/>
      <c r="LRK20" s="403"/>
      <c r="LRL20" s="403"/>
      <c r="LRM20" s="403"/>
      <c r="LRN20" s="403"/>
      <c r="LRO20" s="403"/>
      <c r="LRP20" s="403"/>
      <c r="LRQ20" s="403"/>
      <c r="LRR20" s="403"/>
      <c r="LRS20" s="403"/>
      <c r="LRT20" s="403"/>
      <c r="LRU20" s="403"/>
      <c r="LRV20" s="403"/>
      <c r="LRW20" s="403"/>
      <c r="LRX20" s="403"/>
      <c r="LRY20" s="403"/>
      <c r="LRZ20" s="403"/>
      <c r="LSA20" s="403"/>
      <c r="LSB20" s="403"/>
      <c r="LSC20" s="403" t="s">
        <v>99</v>
      </c>
      <c r="LSD20" s="403"/>
      <c r="LSE20" s="403"/>
      <c r="LSF20" s="403"/>
      <c r="LSG20" s="403"/>
      <c r="LSH20" s="403"/>
      <c r="LSI20" s="403"/>
      <c r="LSJ20" s="403"/>
      <c r="LSK20" s="403"/>
      <c r="LSL20" s="403"/>
      <c r="LSM20" s="403"/>
      <c r="LSN20" s="403"/>
      <c r="LSO20" s="403"/>
      <c r="LSP20" s="403"/>
      <c r="LSQ20" s="403"/>
      <c r="LSR20" s="403"/>
      <c r="LSS20" s="403"/>
      <c r="LST20" s="403"/>
      <c r="LSU20" s="403"/>
      <c r="LSV20" s="403"/>
      <c r="LSW20" s="403"/>
      <c r="LSX20" s="403"/>
      <c r="LSY20" s="403"/>
      <c r="LSZ20" s="403"/>
      <c r="LTA20" s="403"/>
      <c r="LTB20" s="403"/>
      <c r="LTC20" s="403"/>
      <c r="LTD20" s="403"/>
      <c r="LTE20" s="403"/>
      <c r="LTF20" s="403"/>
      <c r="LTG20" s="403"/>
      <c r="LTH20" s="403"/>
      <c r="LTI20" s="403" t="s">
        <v>99</v>
      </c>
      <c r="LTJ20" s="403"/>
      <c r="LTK20" s="403"/>
      <c r="LTL20" s="403"/>
      <c r="LTM20" s="403"/>
      <c r="LTN20" s="403"/>
      <c r="LTO20" s="403"/>
      <c r="LTP20" s="403"/>
      <c r="LTQ20" s="403"/>
      <c r="LTR20" s="403"/>
      <c r="LTS20" s="403"/>
      <c r="LTT20" s="403"/>
      <c r="LTU20" s="403"/>
      <c r="LTV20" s="403"/>
      <c r="LTW20" s="403"/>
      <c r="LTX20" s="403"/>
      <c r="LTY20" s="403"/>
      <c r="LTZ20" s="403"/>
      <c r="LUA20" s="403"/>
      <c r="LUB20" s="403"/>
      <c r="LUC20" s="403"/>
      <c r="LUD20" s="403"/>
      <c r="LUE20" s="403"/>
      <c r="LUF20" s="403"/>
      <c r="LUG20" s="403"/>
      <c r="LUH20" s="403"/>
      <c r="LUI20" s="403"/>
      <c r="LUJ20" s="403"/>
      <c r="LUK20" s="403"/>
      <c r="LUL20" s="403"/>
      <c r="LUM20" s="403"/>
      <c r="LUN20" s="403"/>
      <c r="LUO20" s="403" t="s">
        <v>99</v>
      </c>
      <c r="LUP20" s="403"/>
      <c r="LUQ20" s="403"/>
      <c r="LUR20" s="403"/>
      <c r="LUS20" s="403"/>
      <c r="LUT20" s="403"/>
      <c r="LUU20" s="403"/>
      <c r="LUV20" s="403"/>
      <c r="LUW20" s="403"/>
      <c r="LUX20" s="403"/>
      <c r="LUY20" s="403"/>
      <c r="LUZ20" s="403"/>
      <c r="LVA20" s="403"/>
      <c r="LVB20" s="403"/>
      <c r="LVC20" s="403"/>
      <c r="LVD20" s="403"/>
      <c r="LVE20" s="403"/>
      <c r="LVF20" s="403"/>
      <c r="LVG20" s="403"/>
      <c r="LVH20" s="403"/>
      <c r="LVI20" s="403"/>
      <c r="LVJ20" s="403"/>
      <c r="LVK20" s="403"/>
      <c r="LVL20" s="403"/>
      <c r="LVM20" s="403"/>
      <c r="LVN20" s="403"/>
      <c r="LVO20" s="403"/>
      <c r="LVP20" s="403"/>
      <c r="LVQ20" s="403"/>
      <c r="LVR20" s="403"/>
      <c r="LVS20" s="403"/>
      <c r="LVT20" s="403"/>
      <c r="LVU20" s="403" t="s">
        <v>99</v>
      </c>
      <c r="LVV20" s="403"/>
      <c r="LVW20" s="403"/>
      <c r="LVX20" s="403"/>
      <c r="LVY20" s="403"/>
      <c r="LVZ20" s="403"/>
      <c r="LWA20" s="403"/>
      <c r="LWB20" s="403"/>
      <c r="LWC20" s="403"/>
      <c r="LWD20" s="403"/>
      <c r="LWE20" s="403"/>
      <c r="LWF20" s="403"/>
      <c r="LWG20" s="403"/>
      <c r="LWH20" s="403"/>
      <c r="LWI20" s="403"/>
      <c r="LWJ20" s="403"/>
      <c r="LWK20" s="403"/>
      <c r="LWL20" s="403"/>
      <c r="LWM20" s="403"/>
      <c r="LWN20" s="403"/>
      <c r="LWO20" s="403"/>
      <c r="LWP20" s="403"/>
      <c r="LWQ20" s="403"/>
      <c r="LWR20" s="403"/>
      <c r="LWS20" s="403"/>
      <c r="LWT20" s="403"/>
      <c r="LWU20" s="403"/>
      <c r="LWV20" s="403"/>
      <c r="LWW20" s="403"/>
      <c r="LWX20" s="403"/>
      <c r="LWY20" s="403"/>
      <c r="LWZ20" s="403"/>
      <c r="LXA20" s="403" t="s">
        <v>99</v>
      </c>
      <c r="LXB20" s="403"/>
      <c r="LXC20" s="403"/>
      <c r="LXD20" s="403"/>
      <c r="LXE20" s="403"/>
      <c r="LXF20" s="403"/>
      <c r="LXG20" s="403"/>
      <c r="LXH20" s="403"/>
      <c r="LXI20" s="403"/>
      <c r="LXJ20" s="403"/>
      <c r="LXK20" s="403"/>
      <c r="LXL20" s="403"/>
      <c r="LXM20" s="403"/>
      <c r="LXN20" s="403"/>
      <c r="LXO20" s="403"/>
      <c r="LXP20" s="403"/>
      <c r="LXQ20" s="403"/>
      <c r="LXR20" s="403"/>
      <c r="LXS20" s="403"/>
      <c r="LXT20" s="403"/>
      <c r="LXU20" s="403"/>
      <c r="LXV20" s="403"/>
      <c r="LXW20" s="403"/>
      <c r="LXX20" s="403"/>
      <c r="LXY20" s="403"/>
      <c r="LXZ20" s="403"/>
      <c r="LYA20" s="403"/>
      <c r="LYB20" s="403"/>
      <c r="LYC20" s="403"/>
      <c r="LYD20" s="403"/>
      <c r="LYE20" s="403"/>
      <c r="LYF20" s="403"/>
      <c r="LYG20" s="403" t="s">
        <v>99</v>
      </c>
      <c r="LYH20" s="403"/>
      <c r="LYI20" s="403"/>
      <c r="LYJ20" s="403"/>
      <c r="LYK20" s="403"/>
      <c r="LYL20" s="403"/>
      <c r="LYM20" s="403"/>
      <c r="LYN20" s="403"/>
      <c r="LYO20" s="403"/>
      <c r="LYP20" s="403"/>
      <c r="LYQ20" s="403"/>
      <c r="LYR20" s="403"/>
      <c r="LYS20" s="403"/>
      <c r="LYT20" s="403"/>
      <c r="LYU20" s="403"/>
      <c r="LYV20" s="403"/>
      <c r="LYW20" s="403"/>
      <c r="LYX20" s="403"/>
      <c r="LYY20" s="403"/>
      <c r="LYZ20" s="403"/>
      <c r="LZA20" s="403"/>
      <c r="LZB20" s="403"/>
      <c r="LZC20" s="403"/>
      <c r="LZD20" s="403"/>
      <c r="LZE20" s="403"/>
      <c r="LZF20" s="403"/>
      <c r="LZG20" s="403"/>
      <c r="LZH20" s="403"/>
      <c r="LZI20" s="403"/>
      <c r="LZJ20" s="403"/>
      <c r="LZK20" s="403"/>
      <c r="LZL20" s="403"/>
      <c r="LZM20" s="403" t="s">
        <v>99</v>
      </c>
      <c r="LZN20" s="403"/>
      <c r="LZO20" s="403"/>
      <c r="LZP20" s="403"/>
      <c r="LZQ20" s="403"/>
      <c r="LZR20" s="403"/>
      <c r="LZS20" s="403"/>
      <c r="LZT20" s="403"/>
      <c r="LZU20" s="403"/>
      <c r="LZV20" s="403"/>
      <c r="LZW20" s="403"/>
      <c r="LZX20" s="403"/>
      <c r="LZY20" s="403"/>
      <c r="LZZ20" s="403"/>
      <c r="MAA20" s="403"/>
      <c r="MAB20" s="403"/>
      <c r="MAC20" s="403"/>
      <c r="MAD20" s="403"/>
      <c r="MAE20" s="403"/>
      <c r="MAF20" s="403"/>
      <c r="MAG20" s="403"/>
      <c r="MAH20" s="403"/>
      <c r="MAI20" s="403"/>
      <c r="MAJ20" s="403"/>
      <c r="MAK20" s="403"/>
      <c r="MAL20" s="403"/>
      <c r="MAM20" s="403"/>
      <c r="MAN20" s="403"/>
      <c r="MAO20" s="403"/>
      <c r="MAP20" s="403"/>
      <c r="MAQ20" s="403"/>
      <c r="MAR20" s="403"/>
      <c r="MAS20" s="403" t="s">
        <v>99</v>
      </c>
      <c r="MAT20" s="403"/>
      <c r="MAU20" s="403"/>
      <c r="MAV20" s="403"/>
      <c r="MAW20" s="403"/>
      <c r="MAX20" s="403"/>
      <c r="MAY20" s="403"/>
      <c r="MAZ20" s="403"/>
      <c r="MBA20" s="403"/>
      <c r="MBB20" s="403"/>
      <c r="MBC20" s="403"/>
      <c r="MBD20" s="403"/>
      <c r="MBE20" s="403"/>
      <c r="MBF20" s="403"/>
      <c r="MBG20" s="403"/>
      <c r="MBH20" s="403"/>
      <c r="MBI20" s="403"/>
      <c r="MBJ20" s="403"/>
      <c r="MBK20" s="403"/>
      <c r="MBL20" s="403"/>
      <c r="MBM20" s="403"/>
      <c r="MBN20" s="403"/>
      <c r="MBO20" s="403"/>
      <c r="MBP20" s="403"/>
      <c r="MBQ20" s="403"/>
      <c r="MBR20" s="403"/>
      <c r="MBS20" s="403"/>
      <c r="MBT20" s="403"/>
      <c r="MBU20" s="403"/>
      <c r="MBV20" s="403"/>
      <c r="MBW20" s="403"/>
      <c r="MBX20" s="403"/>
      <c r="MBY20" s="403" t="s">
        <v>99</v>
      </c>
      <c r="MBZ20" s="403"/>
      <c r="MCA20" s="403"/>
      <c r="MCB20" s="403"/>
      <c r="MCC20" s="403"/>
      <c r="MCD20" s="403"/>
      <c r="MCE20" s="403"/>
      <c r="MCF20" s="403"/>
      <c r="MCG20" s="403"/>
      <c r="MCH20" s="403"/>
      <c r="MCI20" s="403"/>
      <c r="MCJ20" s="403"/>
      <c r="MCK20" s="403"/>
      <c r="MCL20" s="403"/>
      <c r="MCM20" s="403"/>
      <c r="MCN20" s="403"/>
      <c r="MCO20" s="403"/>
      <c r="MCP20" s="403"/>
      <c r="MCQ20" s="403"/>
      <c r="MCR20" s="403"/>
      <c r="MCS20" s="403"/>
      <c r="MCT20" s="403"/>
      <c r="MCU20" s="403"/>
      <c r="MCV20" s="403"/>
      <c r="MCW20" s="403"/>
      <c r="MCX20" s="403"/>
      <c r="MCY20" s="403"/>
      <c r="MCZ20" s="403"/>
      <c r="MDA20" s="403"/>
      <c r="MDB20" s="403"/>
      <c r="MDC20" s="403"/>
      <c r="MDD20" s="403"/>
      <c r="MDE20" s="403" t="s">
        <v>99</v>
      </c>
      <c r="MDF20" s="403"/>
      <c r="MDG20" s="403"/>
      <c r="MDH20" s="403"/>
      <c r="MDI20" s="403"/>
      <c r="MDJ20" s="403"/>
      <c r="MDK20" s="403"/>
      <c r="MDL20" s="403"/>
      <c r="MDM20" s="403"/>
      <c r="MDN20" s="403"/>
      <c r="MDO20" s="403"/>
      <c r="MDP20" s="403"/>
      <c r="MDQ20" s="403"/>
      <c r="MDR20" s="403"/>
      <c r="MDS20" s="403"/>
      <c r="MDT20" s="403"/>
      <c r="MDU20" s="403"/>
      <c r="MDV20" s="403"/>
      <c r="MDW20" s="403"/>
      <c r="MDX20" s="403"/>
      <c r="MDY20" s="403"/>
      <c r="MDZ20" s="403"/>
      <c r="MEA20" s="403"/>
      <c r="MEB20" s="403"/>
      <c r="MEC20" s="403"/>
      <c r="MED20" s="403"/>
      <c r="MEE20" s="403"/>
      <c r="MEF20" s="403"/>
      <c r="MEG20" s="403"/>
      <c r="MEH20" s="403"/>
      <c r="MEI20" s="403"/>
      <c r="MEJ20" s="403"/>
      <c r="MEK20" s="403" t="s">
        <v>99</v>
      </c>
      <c r="MEL20" s="403"/>
      <c r="MEM20" s="403"/>
      <c r="MEN20" s="403"/>
      <c r="MEO20" s="403"/>
      <c r="MEP20" s="403"/>
      <c r="MEQ20" s="403"/>
      <c r="MER20" s="403"/>
      <c r="MES20" s="403"/>
      <c r="MET20" s="403"/>
      <c r="MEU20" s="403"/>
      <c r="MEV20" s="403"/>
      <c r="MEW20" s="403"/>
      <c r="MEX20" s="403"/>
      <c r="MEY20" s="403"/>
      <c r="MEZ20" s="403"/>
      <c r="MFA20" s="403"/>
      <c r="MFB20" s="403"/>
      <c r="MFC20" s="403"/>
      <c r="MFD20" s="403"/>
      <c r="MFE20" s="403"/>
      <c r="MFF20" s="403"/>
      <c r="MFG20" s="403"/>
      <c r="MFH20" s="403"/>
      <c r="MFI20" s="403"/>
      <c r="MFJ20" s="403"/>
      <c r="MFK20" s="403"/>
      <c r="MFL20" s="403"/>
      <c r="MFM20" s="403"/>
      <c r="MFN20" s="403"/>
      <c r="MFO20" s="403"/>
      <c r="MFP20" s="403"/>
      <c r="MFQ20" s="403" t="s">
        <v>99</v>
      </c>
      <c r="MFR20" s="403"/>
      <c r="MFS20" s="403"/>
      <c r="MFT20" s="403"/>
      <c r="MFU20" s="403"/>
      <c r="MFV20" s="403"/>
      <c r="MFW20" s="403"/>
      <c r="MFX20" s="403"/>
      <c r="MFY20" s="403"/>
      <c r="MFZ20" s="403"/>
      <c r="MGA20" s="403"/>
      <c r="MGB20" s="403"/>
      <c r="MGC20" s="403"/>
      <c r="MGD20" s="403"/>
      <c r="MGE20" s="403"/>
      <c r="MGF20" s="403"/>
      <c r="MGG20" s="403"/>
      <c r="MGH20" s="403"/>
      <c r="MGI20" s="403"/>
      <c r="MGJ20" s="403"/>
      <c r="MGK20" s="403"/>
      <c r="MGL20" s="403"/>
      <c r="MGM20" s="403"/>
      <c r="MGN20" s="403"/>
      <c r="MGO20" s="403"/>
      <c r="MGP20" s="403"/>
      <c r="MGQ20" s="403"/>
      <c r="MGR20" s="403"/>
      <c r="MGS20" s="403"/>
      <c r="MGT20" s="403"/>
      <c r="MGU20" s="403"/>
      <c r="MGV20" s="403"/>
      <c r="MGW20" s="403" t="s">
        <v>99</v>
      </c>
      <c r="MGX20" s="403"/>
      <c r="MGY20" s="403"/>
      <c r="MGZ20" s="403"/>
      <c r="MHA20" s="403"/>
      <c r="MHB20" s="403"/>
      <c r="MHC20" s="403"/>
      <c r="MHD20" s="403"/>
      <c r="MHE20" s="403"/>
      <c r="MHF20" s="403"/>
      <c r="MHG20" s="403"/>
      <c r="MHH20" s="403"/>
      <c r="MHI20" s="403"/>
      <c r="MHJ20" s="403"/>
      <c r="MHK20" s="403"/>
      <c r="MHL20" s="403"/>
      <c r="MHM20" s="403"/>
      <c r="MHN20" s="403"/>
      <c r="MHO20" s="403"/>
      <c r="MHP20" s="403"/>
      <c r="MHQ20" s="403"/>
      <c r="MHR20" s="403"/>
      <c r="MHS20" s="403"/>
      <c r="MHT20" s="403"/>
      <c r="MHU20" s="403"/>
      <c r="MHV20" s="403"/>
      <c r="MHW20" s="403"/>
      <c r="MHX20" s="403"/>
      <c r="MHY20" s="403"/>
      <c r="MHZ20" s="403"/>
      <c r="MIA20" s="403"/>
      <c r="MIB20" s="403"/>
      <c r="MIC20" s="403" t="s">
        <v>99</v>
      </c>
      <c r="MID20" s="403"/>
      <c r="MIE20" s="403"/>
      <c r="MIF20" s="403"/>
      <c r="MIG20" s="403"/>
      <c r="MIH20" s="403"/>
      <c r="MII20" s="403"/>
      <c r="MIJ20" s="403"/>
      <c r="MIK20" s="403"/>
      <c r="MIL20" s="403"/>
      <c r="MIM20" s="403"/>
      <c r="MIN20" s="403"/>
      <c r="MIO20" s="403"/>
      <c r="MIP20" s="403"/>
      <c r="MIQ20" s="403"/>
      <c r="MIR20" s="403"/>
      <c r="MIS20" s="403"/>
      <c r="MIT20" s="403"/>
      <c r="MIU20" s="403"/>
      <c r="MIV20" s="403"/>
      <c r="MIW20" s="403"/>
      <c r="MIX20" s="403"/>
      <c r="MIY20" s="403"/>
      <c r="MIZ20" s="403"/>
      <c r="MJA20" s="403"/>
      <c r="MJB20" s="403"/>
      <c r="MJC20" s="403"/>
      <c r="MJD20" s="403"/>
      <c r="MJE20" s="403"/>
      <c r="MJF20" s="403"/>
      <c r="MJG20" s="403"/>
      <c r="MJH20" s="403"/>
      <c r="MJI20" s="403" t="s">
        <v>99</v>
      </c>
      <c r="MJJ20" s="403"/>
      <c r="MJK20" s="403"/>
      <c r="MJL20" s="403"/>
      <c r="MJM20" s="403"/>
      <c r="MJN20" s="403"/>
      <c r="MJO20" s="403"/>
      <c r="MJP20" s="403"/>
      <c r="MJQ20" s="403"/>
      <c r="MJR20" s="403"/>
      <c r="MJS20" s="403"/>
      <c r="MJT20" s="403"/>
      <c r="MJU20" s="403"/>
      <c r="MJV20" s="403"/>
      <c r="MJW20" s="403"/>
      <c r="MJX20" s="403"/>
      <c r="MJY20" s="403"/>
      <c r="MJZ20" s="403"/>
      <c r="MKA20" s="403"/>
      <c r="MKB20" s="403"/>
      <c r="MKC20" s="403"/>
      <c r="MKD20" s="403"/>
      <c r="MKE20" s="403"/>
      <c r="MKF20" s="403"/>
      <c r="MKG20" s="403"/>
      <c r="MKH20" s="403"/>
      <c r="MKI20" s="403"/>
      <c r="MKJ20" s="403"/>
      <c r="MKK20" s="403"/>
      <c r="MKL20" s="403"/>
      <c r="MKM20" s="403"/>
      <c r="MKN20" s="403"/>
      <c r="MKO20" s="403" t="s">
        <v>99</v>
      </c>
      <c r="MKP20" s="403"/>
      <c r="MKQ20" s="403"/>
      <c r="MKR20" s="403"/>
      <c r="MKS20" s="403"/>
      <c r="MKT20" s="403"/>
      <c r="MKU20" s="403"/>
      <c r="MKV20" s="403"/>
      <c r="MKW20" s="403"/>
      <c r="MKX20" s="403"/>
      <c r="MKY20" s="403"/>
      <c r="MKZ20" s="403"/>
      <c r="MLA20" s="403"/>
      <c r="MLB20" s="403"/>
      <c r="MLC20" s="403"/>
      <c r="MLD20" s="403"/>
      <c r="MLE20" s="403"/>
      <c r="MLF20" s="403"/>
      <c r="MLG20" s="403"/>
      <c r="MLH20" s="403"/>
      <c r="MLI20" s="403"/>
      <c r="MLJ20" s="403"/>
      <c r="MLK20" s="403"/>
      <c r="MLL20" s="403"/>
      <c r="MLM20" s="403"/>
      <c r="MLN20" s="403"/>
      <c r="MLO20" s="403"/>
      <c r="MLP20" s="403"/>
      <c r="MLQ20" s="403"/>
      <c r="MLR20" s="403"/>
      <c r="MLS20" s="403"/>
      <c r="MLT20" s="403"/>
      <c r="MLU20" s="403" t="s">
        <v>99</v>
      </c>
      <c r="MLV20" s="403"/>
      <c r="MLW20" s="403"/>
      <c r="MLX20" s="403"/>
      <c r="MLY20" s="403"/>
      <c r="MLZ20" s="403"/>
      <c r="MMA20" s="403"/>
      <c r="MMB20" s="403"/>
      <c r="MMC20" s="403"/>
      <c r="MMD20" s="403"/>
      <c r="MME20" s="403"/>
      <c r="MMF20" s="403"/>
      <c r="MMG20" s="403"/>
      <c r="MMH20" s="403"/>
      <c r="MMI20" s="403"/>
      <c r="MMJ20" s="403"/>
      <c r="MMK20" s="403"/>
      <c r="MML20" s="403"/>
      <c r="MMM20" s="403"/>
      <c r="MMN20" s="403"/>
      <c r="MMO20" s="403"/>
      <c r="MMP20" s="403"/>
      <c r="MMQ20" s="403"/>
      <c r="MMR20" s="403"/>
      <c r="MMS20" s="403"/>
      <c r="MMT20" s="403"/>
      <c r="MMU20" s="403"/>
      <c r="MMV20" s="403"/>
      <c r="MMW20" s="403"/>
      <c r="MMX20" s="403"/>
      <c r="MMY20" s="403"/>
      <c r="MMZ20" s="403"/>
      <c r="MNA20" s="403" t="s">
        <v>99</v>
      </c>
      <c r="MNB20" s="403"/>
      <c r="MNC20" s="403"/>
      <c r="MND20" s="403"/>
      <c r="MNE20" s="403"/>
      <c r="MNF20" s="403"/>
      <c r="MNG20" s="403"/>
      <c r="MNH20" s="403"/>
      <c r="MNI20" s="403"/>
      <c r="MNJ20" s="403"/>
      <c r="MNK20" s="403"/>
      <c r="MNL20" s="403"/>
      <c r="MNM20" s="403"/>
      <c r="MNN20" s="403"/>
      <c r="MNO20" s="403"/>
      <c r="MNP20" s="403"/>
      <c r="MNQ20" s="403"/>
      <c r="MNR20" s="403"/>
      <c r="MNS20" s="403"/>
      <c r="MNT20" s="403"/>
      <c r="MNU20" s="403"/>
      <c r="MNV20" s="403"/>
      <c r="MNW20" s="403"/>
      <c r="MNX20" s="403"/>
      <c r="MNY20" s="403"/>
      <c r="MNZ20" s="403"/>
      <c r="MOA20" s="403"/>
      <c r="MOB20" s="403"/>
      <c r="MOC20" s="403"/>
      <c r="MOD20" s="403"/>
      <c r="MOE20" s="403"/>
      <c r="MOF20" s="403"/>
      <c r="MOG20" s="403" t="s">
        <v>99</v>
      </c>
      <c r="MOH20" s="403"/>
      <c r="MOI20" s="403"/>
      <c r="MOJ20" s="403"/>
      <c r="MOK20" s="403"/>
      <c r="MOL20" s="403"/>
      <c r="MOM20" s="403"/>
      <c r="MON20" s="403"/>
      <c r="MOO20" s="403"/>
      <c r="MOP20" s="403"/>
      <c r="MOQ20" s="403"/>
      <c r="MOR20" s="403"/>
      <c r="MOS20" s="403"/>
      <c r="MOT20" s="403"/>
      <c r="MOU20" s="403"/>
      <c r="MOV20" s="403"/>
      <c r="MOW20" s="403"/>
      <c r="MOX20" s="403"/>
      <c r="MOY20" s="403"/>
      <c r="MOZ20" s="403"/>
      <c r="MPA20" s="403"/>
      <c r="MPB20" s="403"/>
      <c r="MPC20" s="403"/>
      <c r="MPD20" s="403"/>
      <c r="MPE20" s="403"/>
      <c r="MPF20" s="403"/>
      <c r="MPG20" s="403"/>
      <c r="MPH20" s="403"/>
      <c r="MPI20" s="403"/>
      <c r="MPJ20" s="403"/>
      <c r="MPK20" s="403"/>
      <c r="MPL20" s="403"/>
      <c r="MPM20" s="403" t="s">
        <v>99</v>
      </c>
      <c r="MPN20" s="403"/>
      <c r="MPO20" s="403"/>
      <c r="MPP20" s="403"/>
      <c r="MPQ20" s="403"/>
      <c r="MPR20" s="403"/>
      <c r="MPS20" s="403"/>
      <c r="MPT20" s="403"/>
      <c r="MPU20" s="403"/>
      <c r="MPV20" s="403"/>
      <c r="MPW20" s="403"/>
      <c r="MPX20" s="403"/>
      <c r="MPY20" s="403"/>
      <c r="MPZ20" s="403"/>
      <c r="MQA20" s="403"/>
      <c r="MQB20" s="403"/>
      <c r="MQC20" s="403"/>
      <c r="MQD20" s="403"/>
      <c r="MQE20" s="403"/>
      <c r="MQF20" s="403"/>
      <c r="MQG20" s="403"/>
      <c r="MQH20" s="403"/>
      <c r="MQI20" s="403"/>
      <c r="MQJ20" s="403"/>
      <c r="MQK20" s="403"/>
      <c r="MQL20" s="403"/>
      <c r="MQM20" s="403"/>
      <c r="MQN20" s="403"/>
      <c r="MQO20" s="403"/>
      <c r="MQP20" s="403"/>
      <c r="MQQ20" s="403"/>
      <c r="MQR20" s="403"/>
      <c r="MQS20" s="403" t="s">
        <v>99</v>
      </c>
      <c r="MQT20" s="403"/>
      <c r="MQU20" s="403"/>
      <c r="MQV20" s="403"/>
      <c r="MQW20" s="403"/>
      <c r="MQX20" s="403"/>
      <c r="MQY20" s="403"/>
      <c r="MQZ20" s="403"/>
      <c r="MRA20" s="403"/>
      <c r="MRB20" s="403"/>
      <c r="MRC20" s="403"/>
      <c r="MRD20" s="403"/>
      <c r="MRE20" s="403"/>
      <c r="MRF20" s="403"/>
      <c r="MRG20" s="403"/>
      <c r="MRH20" s="403"/>
      <c r="MRI20" s="403"/>
      <c r="MRJ20" s="403"/>
      <c r="MRK20" s="403"/>
      <c r="MRL20" s="403"/>
      <c r="MRM20" s="403"/>
      <c r="MRN20" s="403"/>
      <c r="MRO20" s="403"/>
      <c r="MRP20" s="403"/>
      <c r="MRQ20" s="403"/>
      <c r="MRR20" s="403"/>
      <c r="MRS20" s="403"/>
      <c r="MRT20" s="403"/>
      <c r="MRU20" s="403"/>
      <c r="MRV20" s="403"/>
      <c r="MRW20" s="403"/>
      <c r="MRX20" s="403"/>
      <c r="MRY20" s="403" t="s">
        <v>99</v>
      </c>
      <c r="MRZ20" s="403"/>
      <c r="MSA20" s="403"/>
      <c r="MSB20" s="403"/>
      <c r="MSC20" s="403"/>
      <c r="MSD20" s="403"/>
      <c r="MSE20" s="403"/>
      <c r="MSF20" s="403"/>
      <c r="MSG20" s="403"/>
      <c r="MSH20" s="403"/>
      <c r="MSI20" s="403"/>
      <c r="MSJ20" s="403"/>
      <c r="MSK20" s="403"/>
      <c r="MSL20" s="403"/>
      <c r="MSM20" s="403"/>
      <c r="MSN20" s="403"/>
      <c r="MSO20" s="403"/>
      <c r="MSP20" s="403"/>
      <c r="MSQ20" s="403"/>
      <c r="MSR20" s="403"/>
      <c r="MSS20" s="403"/>
      <c r="MST20" s="403"/>
      <c r="MSU20" s="403"/>
      <c r="MSV20" s="403"/>
      <c r="MSW20" s="403"/>
      <c r="MSX20" s="403"/>
      <c r="MSY20" s="403"/>
      <c r="MSZ20" s="403"/>
      <c r="MTA20" s="403"/>
      <c r="MTB20" s="403"/>
      <c r="MTC20" s="403"/>
      <c r="MTD20" s="403"/>
      <c r="MTE20" s="403" t="s">
        <v>99</v>
      </c>
      <c r="MTF20" s="403"/>
      <c r="MTG20" s="403"/>
      <c r="MTH20" s="403"/>
      <c r="MTI20" s="403"/>
      <c r="MTJ20" s="403"/>
      <c r="MTK20" s="403"/>
      <c r="MTL20" s="403"/>
      <c r="MTM20" s="403"/>
      <c r="MTN20" s="403"/>
      <c r="MTO20" s="403"/>
      <c r="MTP20" s="403"/>
      <c r="MTQ20" s="403"/>
      <c r="MTR20" s="403"/>
      <c r="MTS20" s="403"/>
      <c r="MTT20" s="403"/>
      <c r="MTU20" s="403"/>
      <c r="MTV20" s="403"/>
      <c r="MTW20" s="403"/>
      <c r="MTX20" s="403"/>
      <c r="MTY20" s="403"/>
      <c r="MTZ20" s="403"/>
      <c r="MUA20" s="403"/>
      <c r="MUB20" s="403"/>
      <c r="MUC20" s="403"/>
      <c r="MUD20" s="403"/>
      <c r="MUE20" s="403"/>
      <c r="MUF20" s="403"/>
      <c r="MUG20" s="403"/>
      <c r="MUH20" s="403"/>
      <c r="MUI20" s="403"/>
      <c r="MUJ20" s="403"/>
      <c r="MUK20" s="403" t="s">
        <v>99</v>
      </c>
      <c r="MUL20" s="403"/>
      <c r="MUM20" s="403"/>
      <c r="MUN20" s="403"/>
      <c r="MUO20" s="403"/>
      <c r="MUP20" s="403"/>
      <c r="MUQ20" s="403"/>
      <c r="MUR20" s="403"/>
      <c r="MUS20" s="403"/>
      <c r="MUT20" s="403"/>
      <c r="MUU20" s="403"/>
      <c r="MUV20" s="403"/>
      <c r="MUW20" s="403"/>
      <c r="MUX20" s="403"/>
      <c r="MUY20" s="403"/>
      <c r="MUZ20" s="403"/>
      <c r="MVA20" s="403"/>
      <c r="MVB20" s="403"/>
      <c r="MVC20" s="403"/>
      <c r="MVD20" s="403"/>
      <c r="MVE20" s="403"/>
      <c r="MVF20" s="403"/>
      <c r="MVG20" s="403"/>
      <c r="MVH20" s="403"/>
      <c r="MVI20" s="403"/>
      <c r="MVJ20" s="403"/>
      <c r="MVK20" s="403"/>
      <c r="MVL20" s="403"/>
      <c r="MVM20" s="403"/>
      <c r="MVN20" s="403"/>
      <c r="MVO20" s="403"/>
      <c r="MVP20" s="403"/>
      <c r="MVQ20" s="403" t="s">
        <v>99</v>
      </c>
      <c r="MVR20" s="403"/>
      <c r="MVS20" s="403"/>
      <c r="MVT20" s="403"/>
      <c r="MVU20" s="403"/>
      <c r="MVV20" s="403"/>
      <c r="MVW20" s="403"/>
      <c r="MVX20" s="403"/>
      <c r="MVY20" s="403"/>
      <c r="MVZ20" s="403"/>
      <c r="MWA20" s="403"/>
      <c r="MWB20" s="403"/>
      <c r="MWC20" s="403"/>
      <c r="MWD20" s="403"/>
      <c r="MWE20" s="403"/>
      <c r="MWF20" s="403"/>
      <c r="MWG20" s="403"/>
      <c r="MWH20" s="403"/>
      <c r="MWI20" s="403"/>
      <c r="MWJ20" s="403"/>
      <c r="MWK20" s="403"/>
      <c r="MWL20" s="403"/>
      <c r="MWM20" s="403"/>
      <c r="MWN20" s="403"/>
      <c r="MWO20" s="403"/>
      <c r="MWP20" s="403"/>
      <c r="MWQ20" s="403"/>
      <c r="MWR20" s="403"/>
      <c r="MWS20" s="403"/>
      <c r="MWT20" s="403"/>
      <c r="MWU20" s="403"/>
      <c r="MWV20" s="403"/>
      <c r="MWW20" s="403" t="s">
        <v>99</v>
      </c>
      <c r="MWX20" s="403"/>
      <c r="MWY20" s="403"/>
      <c r="MWZ20" s="403"/>
      <c r="MXA20" s="403"/>
      <c r="MXB20" s="403"/>
      <c r="MXC20" s="403"/>
      <c r="MXD20" s="403"/>
      <c r="MXE20" s="403"/>
      <c r="MXF20" s="403"/>
      <c r="MXG20" s="403"/>
      <c r="MXH20" s="403"/>
      <c r="MXI20" s="403"/>
      <c r="MXJ20" s="403"/>
      <c r="MXK20" s="403"/>
      <c r="MXL20" s="403"/>
      <c r="MXM20" s="403"/>
      <c r="MXN20" s="403"/>
      <c r="MXO20" s="403"/>
      <c r="MXP20" s="403"/>
      <c r="MXQ20" s="403"/>
      <c r="MXR20" s="403"/>
      <c r="MXS20" s="403"/>
      <c r="MXT20" s="403"/>
      <c r="MXU20" s="403"/>
      <c r="MXV20" s="403"/>
      <c r="MXW20" s="403"/>
      <c r="MXX20" s="403"/>
      <c r="MXY20" s="403"/>
      <c r="MXZ20" s="403"/>
      <c r="MYA20" s="403"/>
      <c r="MYB20" s="403"/>
      <c r="MYC20" s="403" t="s">
        <v>99</v>
      </c>
      <c r="MYD20" s="403"/>
      <c r="MYE20" s="403"/>
      <c r="MYF20" s="403"/>
      <c r="MYG20" s="403"/>
      <c r="MYH20" s="403"/>
      <c r="MYI20" s="403"/>
      <c r="MYJ20" s="403"/>
      <c r="MYK20" s="403"/>
      <c r="MYL20" s="403"/>
      <c r="MYM20" s="403"/>
      <c r="MYN20" s="403"/>
      <c r="MYO20" s="403"/>
      <c r="MYP20" s="403"/>
      <c r="MYQ20" s="403"/>
      <c r="MYR20" s="403"/>
      <c r="MYS20" s="403"/>
      <c r="MYT20" s="403"/>
      <c r="MYU20" s="403"/>
      <c r="MYV20" s="403"/>
      <c r="MYW20" s="403"/>
      <c r="MYX20" s="403"/>
      <c r="MYY20" s="403"/>
      <c r="MYZ20" s="403"/>
      <c r="MZA20" s="403"/>
      <c r="MZB20" s="403"/>
      <c r="MZC20" s="403"/>
      <c r="MZD20" s="403"/>
      <c r="MZE20" s="403"/>
      <c r="MZF20" s="403"/>
      <c r="MZG20" s="403"/>
      <c r="MZH20" s="403"/>
      <c r="MZI20" s="403" t="s">
        <v>99</v>
      </c>
      <c r="MZJ20" s="403"/>
      <c r="MZK20" s="403"/>
      <c r="MZL20" s="403"/>
      <c r="MZM20" s="403"/>
      <c r="MZN20" s="403"/>
      <c r="MZO20" s="403"/>
      <c r="MZP20" s="403"/>
      <c r="MZQ20" s="403"/>
      <c r="MZR20" s="403"/>
      <c r="MZS20" s="403"/>
      <c r="MZT20" s="403"/>
      <c r="MZU20" s="403"/>
      <c r="MZV20" s="403"/>
      <c r="MZW20" s="403"/>
      <c r="MZX20" s="403"/>
      <c r="MZY20" s="403"/>
      <c r="MZZ20" s="403"/>
      <c r="NAA20" s="403"/>
      <c r="NAB20" s="403"/>
      <c r="NAC20" s="403"/>
      <c r="NAD20" s="403"/>
      <c r="NAE20" s="403"/>
      <c r="NAF20" s="403"/>
      <c r="NAG20" s="403"/>
      <c r="NAH20" s="403"/>
      <c r="NAI20" s="403"/>
      <c r="NAJ20" s="403"/>
      <c r="NAK20" s="403"/>
      <c r="NAL20" s="403"/>
      <c r="NAM20" s="403"/>
      <c r="NAN20" s="403"/>
      <c r="NAO20" s="403" t="s">
        <v>99</v>
      </c>
      <c r="NAP20" s="403"/>
      <c r="NAQ20" s="403"/>
      <c r="NAR20" s="403"/>
      <c r="NAS20" s="403"/>
      <c r="NAT20" s="403"/>
      <c r="NAU20" s="403"/>
      <c r="NAV20" s="403"/>
      <c r="NAW20" s="403"/>
      <c r="NAX20" s="403"/>
      <c r="NAY20" s="403"/>
      <c r="NAZ20" s="403"/>
      <c r="NBA20" s="403"/>
      <c r="NBB20" s="403"/>
      <c r="NBC20" s="403"/>
      <c r="NBD20" s="403"/>
      <c r="NBE20" s="403"/>
      <c r="NBF20" s="403"/>
      <c r="NBG20" s="403"/>
      <c r="NBH20" s="403"/>
      <c r="NBI20" s="403"/>
      <c r="NBJ20" s="403"/>
      <c r="NBK20" s="403"/>
      <c r="NBL20" s="403"/>
      <c r="NBM20" s="403"/>
      <c r="NBN20" s="403"/>
      <c r="NBO20" s="403"/>
      <c r="NBP20" s="403"/>
      <c r="NBQ20" s="403"/>
      <c r="NBR20" s="403"/>
      <c r="NBS20" s="403"/>
      <c r="NBT20" s="403"/>
      <c r="NBU20" s="403" t="s">
        <v>99</v>
      </c>
      <c r="NBV20" s="403"/>
      <c r="NBW20" s="403"/>
      <c r="NBX20" s="403"/>
      <c r="NBY20" s="403"/>
      <c r="NBZ20" s="403"/>
      <c r="NCA20" s="403"/>
      <c r="NCB20" s="403"/>
      <c r="NCC20" s="403"/>
      <c r="NCD20" s="403"/>
      <c r="NCE20" s="403"/>
      <c r="NCF20" s="403"/>
      <c r="NCG20" s="403"/>
      <c r="NCH20" s="403"/>
      <c r="NCI20" s="403"/>
      <c r="NCJ20" s="403"/>
      <c r="NCK20" s="403"/>
      <c r="NCL20" s="403"/>
      <c r="NCM20" s="403"/>
      <c r="NCN20" s="403"/>
      <c r="NCO20" s="403"/>
      <c r="NCP20" s="403"/>
      <c r="NCQ20" s="403"/>
      <c r="NCR20" s="403"/>
      <c r="NCS20" s="403"/>
      <c r="NCT20" s="403"/>
      <c r="NCU20" s="403"/>
      <c r="NCV20" s="403"/>
      <c r="NCW20" s="403"/>
      <c r="NCX20" s="403"/>
      <c r="NCY20" s="403"/>
      <c r="NCZ20" s="403"/>
      <c r="NDA20" s="403" t="s">
        <v>99</v>
      </c>
      <c r="NDB20" s="403"/>
      <c r="NDC20" s="403"/>
      <c r="NDD20" s="403"/>
      <c r="NDE20" s="403"/>
      <c r="NDF20" s="403"/>
      <c r="NDG20" s="403"/>
      <c r="NDH20" s="403"/>
      <c r="NDI20" s="403"/>
      <c r="NDJ20" s="403"/>
      <c r="NDK20" s="403"/>
      <c r="NDL20" s="403"/>
      <c r="NDM20" s="403"/>
      <c r="NDN20" s="403"/>
      <c r="NDO20" s="403"/>
      <c r="NDP20" s="403"/>
      <c r="NDQ20" s="403"/>
      <c r="NDR20" s="403"/>
      <c r="NDS20" s="403"/>
      <c r="NDT20" s="403"/>
      <c r="NDU20" s="403"/>
      <c r="NDV20" s="403"/>
      <c r="NDW20" s="403"/>
      <c r="NDX20" s="403"/>
      <c r="NDY20" s="403"/>
      <c r="NDZ20" s="403"/>
      <c r="NEA20" s="403"/>
      <c r="NEB20" s="403"/>
      <c r="NEC20" s="403"/>
      <c r="NED20" s="403"/>
      <c r="NEE20" s="403"/>
      <c r="NEF20" s="403"/>
      <c r="NEG20" s="403" t="s">
        <v>99</v>
      </c>
      <c r="NEH20" s="403"/>
      <c r="NEI20" s="403"/>
      <c r="NEJ20" s="403"/>
      <c r="NEK20" s="403"/>
      <c r="NEL20" s="403"/>
      <c r="NEM20" s="403"/>
      <c r="NEN20" s="403"/>
      <c r="NEO20" s="403"/>
      <c r="NEP20" s="403"/>
      <c r="NEQ20" s="403"/>
      <c r="NER20" s="403"/>
      <c r="NES20" s="403"/>
      <c r="NET20" s="403"/>
      <c r="NEU20" s="403"/>
      <c r="NEV20" s="403"/>
      <c r="NEW20" s="403"/>
      <c r="NEX20" s="403"/>
      <c r="NEY20" s="403"/>
      <c r="NEZ20" s="403"/>
      <c r="NFA20" s="403"/>
      <c r="NFB20" s="403"/>
      <c r="NFC20" s="403"/>
      <c r="NFD20" s="403"/>
      <c r="NFE20" s="403"/>
      <c r="NFF20" s="403"/>
      <c r="NFG20" s="403"/>
      <c r="NFH20" s="403"/>
      <c r="NFI20" s="403"/>
      <c r="NFJ20" s="403"/>
      <c r="NFK20" s="403"/>
      <c r="NFL20" s="403"/>
      <c r="NFM20" s="403" t="s">
        <v>99</v>
      </c>
      <c r="NFN20" s="403"/>
      <c r="NFO20" s="403"/>
      <c r="NFP20" s="403"/>
      <c r="NFQ20" s="403"/>
      <c r="NFR20" s="403"/>
      <c r="NFS20" s="403"/>
      <c r="NFT20" s="403"/>
      <c r="NFU20" s="403"/>
      <c r="NFV20" s="403"/>
      <c r="NFW20" s="403"/>
      <c r="NFX20" s="403"/>
      <c r="NFY20" s="403"/>
      <c r="NFZ20" s="403"/>
      <c r="NGA20" s="403"/>
      <c r="NGB20" s="403"/>
      <c r="NGC20" s="403"/>
      <c r="NGD20" s="403"/>
      <c r="NGE20" s="403"/>
      <c r="NGF20" s="403"/>
      <c r="NGG20" s="403"/>
      <c r="NGH20" s="403"/>
      <c r="NGI20" s="403"/>
      <c r="NGJ20" s="403"/>
      <c r="NGK20" s="403"/>
      <c r="NGL20" s="403"/>
      <c r="NGM20" s="403"/>
      <c r="NGN20" s="403"/>
      <c r="NGO20" s="403"/>
      <c r="NGP20" s="403"/>
      <c r="NGQ20" s="403"/>
      <c r="NGR20" s="403"/>
      <c r="NGS20" s="403" t="s">
        <v>99</v>
      </c>
      <c r="NGT20" s="403"/>
      <c r="NGU20" s="403"/>
      <c r="NGV20" s="403"/>
      <c r="NGW20" s="403"/>
      <c r="NGX20" s="403"/>
      <c r="NGY20" s="403"/>
      <c r="NGZ20" s="403"/>
      <c r="NHA20" s="403"/>
      <c r="NHB20" s="403"/>
      <c r="NHC20" s="403"/>
      <c r="NHD20" s="403"/>
      <c r="NHE20" s="403"/>
      <c r="NHF20" s="403"/>
      <c r="NHG20" s="403"/>
      <c r="NHH20" s="403"/>
      <c r="NHI20" s="403"/>
      <c r="NHJ20" s="403"/>
      <c r="NHK20" s="403"/>
      <c r="NHL20" s="403"/>
      <c r="NHM20" s="403"/>
      <c r="NHN20" s="403"/>
      <c r="NHO20" s="403"/>
      <c r="NHP20" s="403"/>
      <c r="NHQ20" s="403"/>
      <c r="NHR20" s="403"/>
      <c r="NHS20" s="403"/>
      <c r="NHT20" s="403"/>
      <c r="NHU20" s="403"/>
      <c r="NHV20" s="403"/>
      <c r="NHW20" s="403"/>
      <c r="NHX20" s="403"/>
      <c r="NHY20" s="403" t="s">
        <v>99</v>
      </c>
      <c r="NHZ20" s="403"/>
      <c r="NIA20" s="403"/>
      <c r="NIB20" s="403"/>
      <c r="NIC20" s="403"/>
      <c r="NID20" s="403"/>
      <c r="NIE20" s="403"/>
      <c r="NIF20" s="403"/>
      <c r="NIG20" s="403"/>
      <c r="NIH20" s="403"/>
      <c r="NII20" s="403"/>
      <c r="NIJ20" s="403"/>
      <c r="NIK20" s="403"/>
      <c r="NIL20" s="403"/>
      <c r="NIM20" s="403"/>
      <c r="NIN20" s="403"/>
      <c r="NIO20" s="403"/>
      <c r="NIP20" s="403"/>
      <c r="NIQ20" s="403"/>
      <c r="NIR20" s="403"/>
      <c r="NIS20" s="403"/>
      <c r="NIT20" s="403"/>
      <c r="NIU20" s="403"/>
      <c r="NIV20" s="403"/>
      <c r="NIW20" s="403"/>
      <c r="NIX20" s="403"/>
      <c r="NIY20" s="403"/>
      <c r="NIZ20" s="403"/>
      <c r="NJA20" s="403"/>
      <c r="NJB20" s="403"/>
      <c r="NJC20" s="403"/>
      <c r="NJD20" s="403"/>
      <c r="NJE20" s="403" t="s">
        <v>99</v>
      </c>
      <c r="NJF20" s="403"/>
      <c r="NJG20" s="403"/>
      <c r="NJH20" s="403"/>
      <c r="NJI20" s="403"/>
      <c r="NJJ20" s="403"/>
      <c r="NJK20" s="403"/>
      <c r="NJL20" s="403"/>
      <c r="NJM20" s="403"/>
      <c r="NJN20" s="403"/>
      <c r="NJO20" s="403"/>
      <c r="NJP20" s="403"/>
      <c r="NJQ20" s="403"/>
      <c r="NJR20" s="403"/>
      <c r="NJS20" s="403"/>
      <c r="NJT20" s="403"/>
      <c r="NJU20" s="403"/>
      <c r="NJV20" s="403"/>
      <c r="NJW20" s="403"/>
      <c r="NJX20" s="403"/>
      <c r="NJY20" s="403"/>
      <c r="NJZ20" s="403"/>
      <c r="NKA20" s="403"/>
      <c r="NKB20" s="403"/>
      <c r="NKC20" s="403"/>
      <c r="NKD20" s="403"/>
      <c r="NKE20" s="403"/>
      <c r="NKF20" s="403"/>
      <c r="NKG20" s="403"/>
      <c r="NKH20" s="403"/>
      <c r="NKI20" s="403"/>
      <c r="NKJ20" s="403"/>
      <c r="NKK20" s="403" t="s">
        <v>99</v>
      </c>
      <c r="NKL20" s="403"/>
      <c r="NKM20" s="403"/>
      <c r="NKN20" s="403"/>
      <c r="NKO20" s="403"/>
      <c r="NKP20" s="403"/>
      <c r="NKQ20" s="403"/>
      <c r="NKR20" s="403"/>
      <c r="NKS20" s="403"/>
      <c r="NKT20" s="403"/>
      <c r="NKU20" s="403"/>
      <c r="NKV20" s="403"/>
      <c r="NKW20" s="403"/>
      <c r="NKX20" s="403"/>
      <c r="NKY20" s="403"/>
      <c r="NKZ20" s="403"/>
      <c r="NLA20" s="403"/>
      <c r="NLB20" s="403"/>
      <c r="NLC20" s="403"/>
      <c r="NLD20" s="403"/>
      <c r="NLE20" s="403"/>
      <c r="NLF20" s="403"/>
      <c r="NLG20" s="403"/>
      <c r="NLH20" s="403"/>
      <c r="NLI20" s="403"/>
      <c r="NLJ20" s="403"/>
      <c r="NLK20" s="403"/>
      <c r="NLL20" s="403"/>
      <c r="NLM20" s="403"/>
      <c r="NLN20" s="403"/>
      <c r="NLO20" s="403"/>
      <c r="NLP20" s="403"/>
      <c r="NLQ20" s="403" t="s">
        <v>99</v>
      </c>
      <c r="NLR20" s="403"/>
      <c r="NLS20" s="403"/>
      <c r="NLT20" s="403"/>
      <c r="NLU20" s="403"/>
      <c r="NLV20" s="403"/>
      <c r="NLW20" s="403"/>
      <c r="NLX20" s="403"/>
      <c r="NLY20" s="403"/>
      <c r="NLZ20" s="403"/>
      <c r="NMA20" s="403"/>
      <c r="NMB20" s="403"/>
      <c r="NMC20" s="403"/>
      <c r="NMD20" s="403"/>
      <c r="NME20" s="403"/>
      <c r="NMF20" s="403"/>
      <c r="NMG20" s="403"/>
      <c r="NMH20" s="403"/>
      <c r="NMI20" s="403"/>
      <c r="NMJ20" s="403"/>
      <c r="NMK20" s="403"/>
      <c r="NML20" s="403"/>
      <c r="NMM20" s="403"/>
      <c r="NMN20" s="403"/>
      <c r="NMO20" s="403"/>
      <c r="NMP20" s="403"/>
      <c r="NMQ20" s="403"/>
      <c r="NMR20" s="403"/>
      <c r="NMS20" s="403"/>
      <c r="NMT20" s="403"/>
      <c r="NMU20" s="403"/>
      <c r="NMV20" s="403"/>
      <c r="NMW20" s="403" t="s">
        <v>99</v>
      </c>
      <c r="NMX20" s="403"/>
      <c r="NMY20" s="403"/>
      <c r="NMZ20" s="403"/>
      <c r="NNA20" s="403"/>
      <c r="NNB20" s="403"/>
      <c r="NNC20" s="403"/>
      <c r="NND20" s="403"/>
      <c r="NNE20" s="403"/>
      <c r="NNF20" s="403"/>
      <c r="NNG20" s="403"/>
      <c r="NNH20" s="403"/>
      <c r="NNI20" s="403"/>
      <c r="NNJ20" s="403"/>
      <c r="NNK20" s="403"/>
      <c r="NNL20" s="403"/>
      <c r="NNM20" s="403"/>
      <c r="NNN20" s="403"/>
      <c r="NNO20" s="403"/>
      <c r="NNP20" s="403"/>
      <c r="NNQ20" s="403"/>
      <c r="NNR20" s="403"/>
      <c r="NNS20" s="403"/>
      <c r="NNT20" s="403"/>
      <c r="NNU20" s="403"/>
      <c r="NNV20" s="403"/>
      <c r="NNW20" s="403"/>
      <c r="NNX20" s="403"/>
      <c r="NNY20" s="403"/>
      <c r="NNZ20" s="403"/>
      <c r="NOA20" s="403"/>
      <c r="NOB20" s="403"/>
      <c r="NOC20" s="403" t="s">
        <v>99</v>
      </c>
      <c r="NOD20" s="403"/>
      <c r="NOE20" s="403"/>
      <c r="NOF20" s="403"/>
      <c r="NOG20" s="403"/>
      <c r="NOH20" s="403"/>
      <c r="NOI20" s="403"/>
      <c r="NOJ20" s="403"/>
      <c r="NOK20" s="403"/>
      <c r="NOL20" s="403"/>
      <c r="NOM20" s="403"/>
      <c r="NON20" s="403"/>
      <c r="NOO20" s="403"/>
      <c r="NOP20" s="403"/>
      <c r="NOQ20" s="403"/>
      <c r="NOR20" s="403"/>
      <c r="NOS20" s="403"/>
      <c r="NOT20" s="403"/>
      <c r="NOU20" s="403"/>
      <c r="NOV20" s="403"/>
      <c r="NOW20" s="403"/>
      <c r="NOX20" s="403"/>
      <c r="NOY20" s="403"/>
      <c r="NOZ20" s="403"/>
      <c r="NPA20" s="403"/>
      <c r="NPB20" s="403"/>
      <c r="NPC20" s="403"/>
      <c r="NPD20" s="403"/>
      <c r="NPE20" s="403"/>
      <c r="NPF20" s="403"/>
      <c r="NPG20" s="403"/>
      <c r="NPH20" s="403"/>
      <c r="NPI20" s="403" t="s">
        <v>99</v>
      </c>
      <c r="NPJ20" s="403"/>
      <c r="NPK20" s="403"/>
      <c r="NPL20" s="403"/>
      <c r="NPM20" s="403"/>
      <c r="NPN20" s="403"/>
      <c r="NPO20" s="403"/>
      <c r="NPP20" s="403"/>
      <c r="NPQ20" s="403"/>
      <c r="NPR20" s="403"/>
      <c r="NPS20" s="403"/>
      <c r="NPT20" s="403"/>
      <c r="NPU20" s="403"/>
      <c r="NPV20" s="403"/>
      <c r="NPW20" s="403"/>
      <c r="NPX20" s="403"/>
      <c r="NPY20" s="403"/>
      <c r="NPZ20" s="403"/>
      <c r="NQA20" s="403"/>
      <c r="NQB20" s="403"/>
      <c r="NQC20" s="403"/>
      <c r="NQD20" s="403"/>
      <c r="NQE20" s="403"/>
      <c r="NQF20" s="403"/>
      <c r="NQG20" s="403"/>
      <c r="NQH20" s="403"/>
      <c r="NQI20" s="403"/>
      <c r="NQJ20" s="403"/>
      <c r="NQK20" s="403"/>
      <c r="NQL20" s="403"/>
      <c r="NQM20" s="403"/>
      <c r="NQN20" s="403"/>
      <c r="NQO20" s="403" t="s">
        <v>99</v>
      </c>
      <c r="NQP20" s="403"/>
      <c r="NQQ20" s="403"/>
      <c r="NQR20" s="403"/>
      <c r="NQS20" s="403"/>
      <c r="NQT20" s="403"/>
      <c r="NQU20" s="403"/>
      <c r="NQV20" s="403"/>
      <c r="NQW20" s="403"/>
      <c r="NQX20" s="403"/>
      <c r="NQY20" s="403"/>
      <c r="NQZ20" s="403"/>
      <c r="NRA20" s="403"/>
      <c r="NRB20" s="403"/>
      <c r="NRC20" s="403"/>
      <c r="NRD20" s="403"/>
      <c r="NRE20" s="403"/>
      <c r="NRF20" s="403"/>
      <c r="NRG20" s="403"/>
      <c r="NRH20" s="403"/>
      <c r="NRI20" s="403"/>
      <c r="NRJ20" s="403"/>
      <c r="NRK20" s="403"/>
      <c r="NRL20" s="403"/>
      <c r="NRM20" s="403"/>
      <c r="NRN20" s="403"/>
      <c r="NRO20" s="403"/>
      <c r="NRP20" s="403"/>
      <c r="NRQ20" s="403"/>
      <c r="NRR20" s="403"/>
      <c r="NRS20" s="403"/>
      <c r="NRT20" s="403"/>
      <c r="NRU20" s="403" t="s">
        <v>99</v>
      </c>
      <c r="NRV20" s="403"/>
      <c r="NRW20" s="403"/>
      <c r="NRX20" s="403"/>
      <c r="NRY20" s="403"/>
      <c r="NRZ20" s="403"/>
      <c r="NSA20" s="403"/>
      <c r="NSB20" s="403"/>
      <c r="NSC20" s="403"/>
      <c r="NSD20" s="403"/>
      <c r="NSE20" s="403"/>
      <c r="NSF20" s="403"/>
      <c r="NSG20" s="403"/>
      <c r="NSH20" s="403"/>
      <c r="NSI20" s="403"/>
      <c r="NSJ20" s="403"/>
      <c r="NSK20" s="403"/>
      <c r="NSL20" s="403"/>
      <c r="NSM20" s="403"/>
      <c r="NSN20" s="403"/>
      <c r="NSO20" s="403"/>
      <c r="NSP20" s="403"/>
      <c r="NSQ20" s="403"/>
      <c r="NSR20" s="403"/>
      <c r="NSS20" s="403"/>
      <c r="NST20" s="403"/>
      <c r="NSU20" s="403"/>
      <c r="NSV20" s="403"/>
      <c r="NSW20" s="403"/>
      <c r="NSX20" s="403"/>
      <c r="NSY20" s="403"/>
      <c r="NSZ20" s="403"/>
      <c r="NTA20" s="403" t="s">
        <v>99</v>
      </c>
      <c r="NTB20" s="403"/>
      <c r="NTC20" s="403"/>
      <c r="NTD20" s="403"/>
      <c r="NTE20" s="403"/>
      <c r="NTF20" s="403"/>
      <c r="NTG20" s="403"/>
      <c r="NTH20" s="403"/>
      <c r="NTI20" s="403"/>
      <c r="NTJ20" s="403"/>
      <c r="NTK20" s="403"/>
      <c r="NTL20" s="403"/>
      <c r="NTM20" s="403"/>
      <c r="NTN20" s="403"/>
      <c r="NTO20" s="403"/>
      <c r="NTP20" s="403"/>
      <c r="NTQ20" s="403"/>
      <c r="NTR20" s="403"/>
      <c r="NTS20" s="403"/>
      <c r="NTT20" s="403"/>
      <c r="NTU20" s="403"/>
      <c r="NTV20" s="403"/>
      <c r="NTW20" s="403"/>
      <c r="NTX20" s="403"/>
      <c r="NTY20" s="403"/>
      <c r="NTZ20" s="403"/>
      <c r="NUA20" s="403"/>
      <c r="NUB20" s="403"/>
      <c r="NUC20" s="403"/>
      <c r="NUD20" s="403"/>
      <c r="NUE20" s="403"/>
      <c r="NUF20" s="403"/>
      <c r="NUG20" s="403" t="s">
        <v>99</v>
      </c>
      <c r="NUH20" s="403"/>
      <c r="NUI20" s="403"/>
      <c r="NUJ20" s="403"/>
      <c r="NUK20" s="403"/>
      <c r="NUL20" s="403"/>
      <c r="NUM20" s="403"/>
      <c r="NUN20" s="403"/>
      <c r="NUO20" s="403"/>
      <c r="NUP20" s="403"/>
      <c r="NUQ20" s="403"/>
      <c r="NUR20" s="403"/>
      <c r="NUS20" s="403"/>
      <c r="NUT20" s="403"/>
      <c r="NUU20" s="403"/>
      <c r="NUV20" s="403"/>
      <c r="NUW20" s="403"/>
      <c r="NUX20" s="403"/>
      <c r="NUY20" s="403"/>
      <c r="NUZ20" s="403"/>
      <c r="NVA20" s="403"/>
      <c r="NVB20" s="403"/>
      <c r="NVC20" s="403"/>
      <c r="NVD20" s="403"/>
      <c r="NVE20" s="403"/>
      <c r="NVF20" s="403"/>
      <c r="NVG20" s="403"/>
      <c r="NVH20" s="403"/>
      <c r="NVI20" s="403"/>
      <c r="NVJ20" s="403"/>
      <c r="NVK20" s="403"/>
      <c r="NVL20" s="403"/>
      <c r="NVM20" s="403" t="s">
        <v>99</v>
      </c>
      <c r="NVN20" s="403"/>
      <c r="NVO20" s="403"/>
      <c r="NVP20" s="403"/>
      <c r="NVQ20" s="403"/>
      <c r="NVR20" s="403"/>
      <c r="NVS20" s="403"/>
      <c r="NVT20" s="403"/>
      <c r="NVU20" s="403"/>
      <c r="NVV20" s="403"/>
      <c r="NVW20" s="403"/>
      <c r="NVX20" s="403"/>
      <c r="NVY20" s="403"/>
      <c r="NVZ20" s="403"/>
      <c r="NWA20" s="403"/>
      <c r="NWB20" s="403"/>
      <c r="NWC20" s="403"/>
      <c r="NWD20" s="403"/>
      <c r="NWE20" s="403"/>
      <c r="NWF20" s="403"/>
      <c r="NWG20" s="403"/>
      <c r="NWH20" s="403"/>
      <c r="NWI20" s="403"/>
      <c r="NWJ20" s="403"/>
      <c r="NWK20" s="403"/>
      <c r="NWL20" s="403"/>
      <c r="NWM20" s="403"/>
      <c r="NWN20" s="403"/>
      <c r="NWO20" s="403"/>
      <c r="NWP20" s="403"/>
      <c r="NWQ20" s="403"/>
      <c r="NWR20" s="403"/>
      <c r="NWS20" s="403" t="s">
        <v>99</v>
      </c>
      <c r="NWT20" s="403"/>
      <c r="NWU20" s="403"/>
      <c r="NWV20" s="403"/>
      <c r="NWW20" s="403"/>
      <c r="NWX20" s="403"/>
      <c r="NWY20" s="403"/>
      <c r="NWZ20" s="403"/>
      <c r="NXA20" s="403"/>
      <c r="NXB20" s="403"/>
      <c r="NXC20" s="403"/>
      <c r="NXD20" s="403"/>
      <c r="NXE20" s="403"/>
      <c r="NXF20" s="403"/>
      <c r="NXG20" s="403"/>
      <c r="NXH20" s="403"/>
      <c r="NXI20" s="403"/>
      <c r="NXJ20" s="403"/>
      <c r="NXK20" s="403"/>
      <c r="NXL20" s="403"/>
      <c r="NXM20" s="403"/>
      <c r="NXN20" s="403"/>
      <c r="NXO20" s="403"/>
      <c r="NXP20" s="403"/>
      <c r="NXQ20" s="403"/>
      <c r="NXR20" s="403"/>
      <c r="NXS20" s="403"/>
      <c r="NXT20" s="403"/>
      <c r="NXU20" s="403"/>
      <c r="NXV20" s="403"/>
      <c r="NXW20" s="403"/>
      <c r="NXX20" s="403"/>
      <c r="NXY20" s="403" t="s">
        <v>99</v>
      </c>
      <c r="NXZ20" s="403"/>
      <c r="NYA20" s="403"/>
      <c r="NYB20" s="403"/>
      <c r="NYC20" s="403"/>
      <c r="NYD20" s="403"/>
      <c r="NYE20" s="403"/>
      <c r="NYF20" s="403"/>
      <c r="NYG20" s="403"/>
      <c r="NYH20" s="403"/>
      <c r="NYI20" s="403"/>
      <c r="NYJ20" s="403"/>
      <c r="NYK20" s="403"/>
      <c r="NYL20" s="403"/>
      <c r="NYM20" s="403"/>
      <c r="NYN20" s="403"/>
      <c r="NYO20" s="403"/>
      <c r="NYP20" s="403"/>
      <c r="NYQ20" s="403"/>
      <c r="NYR20" s="403"/>
      <c r="NYS20" s="403"/>
      <c r="NYT20" s="403"/>
      <c r="NYU20" s="403"/>
      <c r="NYV20" s="403"/>
      <c r="NYW20" s="403"/>
      <c r="NYX20" s="403"/>
      <c r="NYY20" s="403"/>
      <c r="NYZ20" s="403"/>
      <c r="NZA20" s="403"/>
      <c r="NZB20" s="403"/>
      <c r="NZC20" s="403"/>
      <c r="NZD20" s="403"/>
      <c r="NZE20" s="403" t="s">
        <v>99</v>
      </c>
      <c r="NZF20" s="403"/>
      <c r="NZG20" s="403"/>
      <c r="NZH20" s="403"/>
      <c r="NZI20" s="403"/>
      <c r="NZJ20" s="403"/>
      <c r="NZK20" s="403"/>
      <c r="NZL20" s="403"/>
      <c r="NZM20" s="403"/>
      <c r="NZN20" s="403"/>
      <c r="NZO20" s="403"/>
      <c r="NZP20" s="403"/>
      <c r="NZQ20" s="403"/>
      <c r="NZR20" s="403"/>
      <c r="NZS20" s="403"/>
      <c r="NZT20" s="403"/>
      <c r="NZU20" s="403"/>
      <c r="NZV20" s="403"/>
      <c r="NZW20" s="403"/>
      <c r="NZX20" s="403"/>
      <c r="NZY20" s="403"/>
      <c r="NZZ20" s="403"/>
      <c r="OAA20" s="403"/>
      <c r="OAB20" s="403"/>
      <c r="OAC20" s="403"/>
      <c r="OAD20" s="403"/>
      <c r="OAE20" s="403"/>
      <c r="OAF20" s="403"/>
      <c r="OAG20" s="403"/>
      <c r="OAH20" s="403"/>
      <c r="OAI20" s="403"/>
      <c r="OAJ20" s="403"/>
      <c r="OAK20" s="403" t="s">
        <v>99</v>
      </c>
      <c r="OAL20" s="403"/>
      <c r="OAM20" s="403"/>
      <c r="OAN20" s="403"/>
      <c r="OAO20" s="403"/>
      <c r="OAP20" s="403"/>
      <c r="OAQ20" s="403"/>
      <c r="OAR20" s="403"/>
      <c r="OAS20" s="403"/>
      <c r="OAT20" s="403"/>
      <c r="OAU20" s="403"/>
      <c r="OAV20" s="403"/>
      <c r="OAW20" s="403"/>
      <c r="OAX20" s="403"/>
      <c r="OAY20" s="403"/>
      <c r="OAZ20" s="403"/>
      <c r="OBA20" s="403"/>
      <c r="OBB20" s="403"/>
      <c r="OBC20" s="403"/>
      <c r="OBD20" s="403"/>
      <c r="OBE20" s="403"/>
      <c r="OBF20" s="403"/>
      <c r="OBG20" s="403"/>
      <c r="OBH20" s="403"/>
      <c r="OBI20" s="403"/>
      <c r="OBJ20" s="403"/>
      <c r="OBK20" s="403"/>
      <c r="OBL20" s="403"/>
      <c r="OBM20" s="403"/>
      <c r="OBN20" s="403"/>
      <c r="OBO20" s="403"/>
      <c r="OBP20" s="403"/>
      <c r="OBQ20" s="403" t="s">
        <v>99</v>
      </c>
      <c r="OBR20" s="403"/>
      <c r="OBS20" s="403"/>
      <c r="OBT20" s="403"/>
      <c r="OBU20" s="403"/>
      <c r="OBV20" s="403"/>
      <c r="OBW20" s="403"/>
      <c r="OBX20" s="403"/>
      <c r="OBY20" s="403"/>
      <c r="OBZ20" s="403"/>
      <c r="OCA20" s="403"/>
      <c r="OCB20" s="403"/>
      <c r="OCC20" s="403"/>
      <c r="OCD20" s="403"/>
      <c r="OCE20" s="403"/>
      <c r="OCF20" s="403"/>
      <c r="OCG20" s="403"/>
      <c r="OCH20" s="403"/>
      <c r="OCI20" s="403"/>
      <c r="OCJ20" s="403"/>
      <c r="OCK20" s="403"/>
      <c r="OCL20" s="403"/>
      <c r="OCM20" s="403"/>
      <c r="OCN20" s="403"/>
      <c r="OCO20" s="403"/>
      <c r="OCP20" s="403"/>
      <c r="OCQ20" s="403"/>
      <c r="OCR20" s="403"/>
      <c r="OCS20" s="403"/>
      <c r="OCT20" s="403"/>
      <c r="OCU20" s="403"/>
      <c r="OCV20" s="403"/>
      <c r="OCW20" s="403" t="s">
        <v>99</v>
      </c>
      <c r="OCX20" s="403"/>
      <c r="OCY20" s="403"/>
      <c r="OCZ20" s="403"/>
      <c r="ODA20" s="403"/>
      <c r="ODB20" s="403"/>
      <c r="ODC20" s="403"/>
      <c r="ODD20" s="403"/>
      <c r="ODE20" s="403"/>
      <c r="ODF20" s="403"/>
      <c r="ODG20" s="403"/>
      <c r="ODH20" s="403"/>
      <c r="ODI20" s="403"/>
      <c r="ODJ20" s="403"/>
      <c r="ODK20" s="403"/>
      <c r="ODL20" s="403"/>
      <c r="ODM20" s="403"/>
      <c r="ODN20" s="403"/>
      <c r="ODO20" s="403"/>
      <c r="ODP20" s="403"/>
      <c r="ODQ20" s="403"/>
      <c r="ODR20" s="403"/>
      <c r="ODS20" s="403"/>
      <c r="ODT20" s="403"/>
      <c r="ODU20" s="403"/>
      <c r="ODV20" s="403"/>
      <c r="ODW20" s="403"/>
      <c r="ODX20" s="403"/>
      <c r="ODY20" s="403"/>
      <c r="ODZ20" s="403"/>
      <c r="OEA20" s="403"/>
      <c r="OEB20" s="403"/>
      <c r="OEC20" s="403" t="s">
        <v>99</v>
      </c>
      <c r="OED20" s="403"/>
      <c r="OEE20" s="403"/>
      <c r="OEF20" s="403"/>
      <c r="OEG20" s="403"/>
      <c r="OEH20" s="403"/>
      <c r="OEI20" s="403"/>
      <c r="OEJ20" s="403"/>
      <c r="OEK20" s="403"/>
      <c r="OEL20" s="403"/>
      <c r="OEM20" s="403"/>
      <c r="OEN20" s="403"/>
      <c r="OEO20" s="403"/>
      <c r="OEP20" s="403"/>
      <c r="OEQ20" s="403"/>
      <c r="OER20" s="403"/>
      <c r="OES20" s="403"/>
      <c r="OET20" s="403"/>
      <c r="OEU20" s="403"/>
      <c r="OEV20" s="403"/>
      <c r="OEW20" s="403"/>
      <c r="OEX20" s="403"/>
      <c r="OEY20" s="403"/>
      <c r="OEZ20" s="403"/>
      <c r="OFA20" s="403"/>
      <c r="OFB20" s="403"/>
      <c r="OFC20" s="403"/>
      <c r="OFD20" s="403"/>
      <c r="OFE20" s="403"/>
      <c r="OFF20" s="403"/>
      <c r="OFG20" s="403"/>
      <c r="OFH20" s="403"/>
      <c r="OFI20" s="403" t="s">
        <v>99</v>
      </c>
      <c r="OFJ20" s="403"/>
      <c r="OFK20" s="403"/>
      <c r="OFL20" s="403"/>
      <c r="OFM20" s="403"/>
      <c r="OFN20" s="403"/>
      <c r="OFO20" s="403"/>
      <c r="OFP20" s="403"/>
      <c r="OFQ20" s="403"/>
      <c r="OFR20" s="403"/>
      <c r="OFS20" s="403"/>
      <c r="OFT20" s="403"/>
      <c r="OFU20" s="403"/>
      <c r="OFV20" s="403"/>
      <c r="OFW20" s="403"/>
      <c r="OFX20" s="403"/>
      <c r="OFY20" s="403"/>
      <c r="OFZ20" s="403"/>
      <c r="OGA20" s="403"/>
      <c r="OGB20" s="403"/>
      <c r="OGC20" s="403"/>
      <c r="OGD20" s="403"/>
      <c r="OGE20" s="403"/>
      <c r="OGF20" s="403"/>
      <c r="OGG20" s="403"/>
      <c r="OGH20" s="403"/>
      <c r="OGI20" s="403"/>
      <c r="OGJ20" s="403"/>
      <c r="OGK20" s="403"/>
      <c r="OGL20" s="403"/>
      <c r="OGM20" s="403"/>
      <c r="OGN20" s="403"/>
      <c r="OGO20" s="403" t="s">
        <v>99</v>
      </c>
      <c r="OGP20" s="403"/>
      <c r="OGQ20" s="403"/>
      <c r="OGR20" s="403"/>
      <c r="OGS20" s="403"/>
      <c r="OGT20" s="403"/>
      <c r="OGU20" s="403"/>
      <c r="OGV20" s="403"/>
      <c r="OGW20" s="403"/>
      <c r="OGX20" s="403"/>
      <c r="OGY20" s="403"/>
      <c r="OGZ20" s="403"/>
      <c r="OHA20" s="403"/>
      <c r="OHB20" s="403"/>
      <c r="OHC20" s="403"/>
      <c r="OHD20" s="403"/>
      <c r="OHE20" s="403"/>
      <c r="OHF20" s="403"/>
      <c r="OHG20" s="403"/>
      <c r="OHH20" s="403"/>
      <c r="OHI20" s="403"/>
      <c r="OHJ20" s="403"/>
      <c r="OHK20" s="403"/>
      <c r="OHL20" s="403"/>
      <c r="OHM20" s="403"/>
      <c r="OHN20" s="403"/>
      <c r="OHO20" s="403"/>
      <c r="OHP20" s="403"/>
      <c r="OHQ20" s="403"/>
      <c r="OHR20" s="403"/>
      <c r="OHS20" s="403"/>
      <c r="OHT20" s="403"/>
      <c r="OHU20" s="403" t="s">
        <v>99</v>
      </c>
      <c r="OHV20" s="403"/>
      <c r="OHW20" s="403"/>
      <c r="OHX20" s="403"/>
      <c r="OHY20" s="403"/>
      <c r="OHZ20" s="403"/>
      <c r="OIA20" s="403"/>
      <c r="OIB20" s="403"/>
      <c r="OIC20" s="403"/>
      <c r="OID20" s="403"/>
      <c r="OIE20" s="403"/>
      <c r="OIF20" s="403"/>
      <c r="OIG20" s="403"/>
      <c r="OIH20" s="403"/>
      <c r="OII20" s="403"/>
      <c r="OIJ20" s="403"/>
      <c r="OIK20" s="403"/>
      <c r="OIL20" s="403"/>
      <c r="OIM20" s="403"/>
      <c r="OIN20" s="403"/>
      <c r="OIO20" s="403"/>
      <c r="OIP20" s="403"/>
      <c r="OIQ20" s="403"/>
      <c r="OIR20" s="403"/>
      <c r="OIS20" s="403"/>
      <c r="OIT20" s="403"/>
      <c r="OIU20" s="403"/>
      <c r="OIV20" s="403"/>
      <c r="OIW20" s="403"/>
      <c r="OIX20" s="403"/>
      <c r="OIY20" s="403"/>
      <c r="OIZ20" s="403"/>
      <c r="OJA20" s="403" t="s">
        <v>99</v>
      </c>
      <c r="OJB20" s="403"/>
      <c r="OJC20" s="403"/>
      <c r="OJD20" s="403"/>
      <c r="OJE20" s="403"/>
      <c r="OJF20" s="403"/>
      <c r="OJG20" s="403"/>
      <c r="OJH20" s="403"/>
      <c r="OJI20" s="403"/>
      <c r="OJJ20" s="403"/>
      <c r="OJK20" s="403"/>
      <c r="OJL20" s="403"/>
      <c r="OJM20" s="403"/>
      <c r="OJN20" s="403"/>
      <c r="OJO20" s="403"/>
      <c r="OJP20" s="403"/>
      <c r="OJQ20" s="403"/>
      <c r="OJR20" s="403"/>
      <c r="OJS20" s="403"/>
      <c r="OJT20" s="403"/>
      <c r="OJU20" s="403"/>
      <c r="OJV20" s="403"/>
      <c r="OJW20" s="403"/>
      <c r="OJX20" s="403"/>
      <c r="OJY20" s="403"/>
      <c r="OJZ20" s="403"/>
      <c r="OKA20" s="403"/>
      <c r="OKB20" s="403"/>
      <c r="OKC20" s="403"/>
      <c r="OKD20" s="403"/>
      <c r="OKE20" s="403"/>
      <c r="OKF20" s="403"/>
      <c r="OKG20" s="403" t="s">
        <v>99</v>
      </c>
      <c r="OKH20" s="403"/>
      <c r="OKI20" s="403"/>
      <c r="OKJ20" s="403"/>
      <c r="OKK20" s="403"/>
      <c r="OKL20" s="403"/>
      <c r="OKM20" s="403"/>
      <c r="OKN20" s="403"/>
      <c r="OKO20" s="403"/>
      <c r="OKP20" s="403"/>
      <c r="OKQ20" s="403"/>
      <c r="OKR20" s="403"/>
      <c r="OKS20" s="403"/>
      <c r="OKT20" s="403"/>
      <c r="OKU20" s="403"/>
      <c r="OKV20" s="403"/>
      <c r="OKW20" s="403"/>
      <c r="OKX20" s="403"/>
      <c r="OKY20" s="403"/>
      <c r="OKZ20" s="403"/>
      <c r="OLA20" s="403"/>
      <c r="OLB20" s="403"/>
      <c r="OLC20" s="403"/>
      <c r="OLD20" s="403"/>
      <c r="OLE20" s="403"/>
      <c r="OLF20" s="403"/>
      <c r="OLG20" s="403"/>
      <c r="OLH20" s="403"/>
      <c r="OLI20" s="403"/>
      <c r="OLJ20" s="403"/>
      <c r="OLK20" s="403"/>
      <c r="OLL20" s="403"/>
      <c r="OLM20" s="403" t="s">
        <v>99</v>
      </c>
      <c r="OLN20" s="403"/>
      <c r="OLO20" s="403"/>
      <c r="OLP20" s="403"/>
      <c r="OLQ20" s="403"/>
      <c r="OLR20" s="403"/>
      <c r="OLS20" s="403"/>
      <c r="OLT20" s="403"/>
      <c r="OLU20" s="403"/>
      <c r="OLV20" s="403"/>
      <c r="OLW20" s="403"/>
      <c r="OLX20" s="403"/>
      <c r="OLY20" s="403"/>
      <c r="OLZ20" s="403"/>
      <c r="OMA20" s="403"/>
      <c r="OMB20" s="403"/>
      <c r="OMC20" s="403"/>
      <c r="OMD20" s="403"/>
      <c r="OME20" s="403"/>
      <c r="OMF20" s="403"/>
      <c r="OMG20" s="403"/>
      <c r="OMH20" s="403"/>
      <c r="OMI20" s="403"/>
      <c r="OMJ20" s="403"/>
      <c r="OMK20" s="403"/>
      <c r="OML20" s="403"/>
      <c r="OMM20" s="403"/>
      <c r="OMN20" s="403"/>
      <c r="OMO20" s="403"/>
      <c r="OMP20" s="403"/>
      <c r="OMQ20" s="403"/>
      <c r="OMR20" s="403"/>
      <c r="OMS20" s="403" t="s">
        <v>99</v>
      </c>
      <c r="OMT20" s="403"/>
      <c r="OMU20" s="403"/>
      <c r="OMV20" s="403"/>
      <c r="OMW20" s="403"/>
      <c r="OMX20" s="403"/>
      <c r="OMY20" s="403"/>
      <c r="OMZ20" s="403"/>
      <c r="ONA20" s="403"/>
      <c r="ONB20" s="403"/>
      <c r="ONC20" s="403"/>
      <c r="OND20" s="403"/>
      <c r="ONE20" s="403"/>
      <c r="ONF20" s="403"/>
      <c r="ONG20" s="403"/>
      <c r="ONH20" s="403"/>
      <c r="ONI20" s="403"/>
      <c r="ONJ20" s="403"/>
      <c r="ONK20" s="403"/>
      <c r="ONL20" s="403"/>
      <c r="ONM20" s="403"/>
      <c r="ONN20" s="403"/>
      <c r="ONO20" s="403"/>
      <c r="ONP20" s="403"/>
      <c r="ONQ20" s="403"/>
      <c r="ONR20" s="403"/>
      <c r="ONS20" s="403"/>
      <c r="ONT20" s="403"/>
      <c r="ONU20" s="403"/>
      <c r="ONV20" s="403"/>
      <c r="ONW20" s="403"/>
      <c r="ONX20" s="403"/>
      <c r="ONY20" s="403" t="s">
        <v>99</v>
      </c>
      <c r="ONZ20" s="403"/>
      <c r="OOA20" s="403"/>
      <c r="OOB20" s="403"/>
      <c r="OOC20" s="403"/>
      <c r="OOD20" s="403"/>
      <c r="OOE20" s="403"/>
      <c r="OOF20" s="403"/>
      <c r="OOG20" s="403"/>
      <c r="OOH20" s="403"/>
      <c r="OOI20" s="403"/>
      <c r="OOJ20" s="403"/>
      <c r="OOK20" s="403"/>
      <c r="OOL20" s="403"/>
      <c r="OOM20" s="403"/>
      <c r="OON20" s="403"/>
      <c r="OOO20" s="403"/>
      <c r="OOP20" s="403"/>
      <c r="OOQ20" s="403"/>
      <c r="OOR20" s="403"/>
      <c r="OOS20" s="403"/>
      <c r="OOT20" s="403"/>
      <c r="OOU20" s="403"/>
      <c r="OOV20" s="403"/>
      <c r="OOW20" s="403"/>
      <c r="OOX20" s="403"/>
      <c r="OOY20" s="403"/>
      <c r="OOZ20" s="403"/>
      <c r="OPA20" s="403"/>
      <c r="OPB20" s="403"/>
      <c r="OPC20" s="403"/>
      <c r="OPD20" s="403"/>
      <c r="OPE20" s="403" t="s">
        <v>99</v>
      </c>
      <c r="OPF20" s="403"/>
      <c r="OPG20" s="403"/>
      <c r="OPH20" s="403"/>
      <c r="OPI20" s="403"/>
      <c r="OPJ20" s="403"/>
      <c r="OPK20" s="403"/>
      <c r="OPL20" s="403"/>
      <c r="OPM20" s="403"/>
      <c r="OPN20" s="403"/>
      <c r="OPO20" s="403"/>
      <c r="OPP20" s="403"/>
      <c r="OPQ20" s="403"/>
      <c r="OPR20" s="403"/>
      <c r="OPS20" s="403"/>
      <c r="OPT20" s="403"/>
      <c r="OPU20" s="403"/>
      <c r="OPV20" s="403"/>
      <c r="OPW20" s="403"/>
      <c r="OPX20" s="403"/>
      <c r="OPY20" s="403"/>
      <c r="OPZ20" s="403"/>
      <c r="OQA20" s="403"/>
      <c r="OQB20" s="403"/>
      <c r="OQC20" s="403"/>
      <c r="OQD20" s="403"/>
      <c r="OQE20" s="403"/>
      <c r="OQF20" s="403"/>
      <c r="OQG20" s="403"/>
      <c r="OQH20" s="403"/>
      <c r="OQI20" s="403"/>
      <c r="OQJ20" s="403"/>
      <c r="OQK20" s="403" t="s">
        <v>99</v>
      </c>
      <c r="OQL20" s="403"/>
      <c r="OQM20" s="403"/>
      <c r="OQN20" s="403"/>
      <c r="OQO20" s="403"/>
      <c r="OQP20" s="403"/>
      <c r="OQQ20" s="403"/>
      <c r="OQR20" s="403"/>
      <c r="OQS20" s="403"/>
      <c r="OQT20" s="403"/>
      <c r="OQU20" s="403"/>
      <c r="OQV20" s="403"/>
      <c r="OQW20" s="403"/>
      <c r="OQX20" s="403"/>
      <c r="OQY20" s="403"/>
      <c r="OQZ20" s="403"/>
      <c r="ORA20" s="403"/>
      <c r="ORB20" s="403"/>
      <c r="ORC20" s="403"/>
      <c r="ORD20" s="403"/>
      <c r="ORE20" s="403"/>
      <c r="ORF20" s="403"/>
      <c r="ORG20" s="403"/>
      <c r="ORH20" s="403"/>
      <c r="ORI20" s="403"/>
      <c r="ORJ20" s="403"/>
      <c r="ORK20" s="403"/>
      <c r="ORL20" s="403"/>
      <c r="ORM20" s="403"/>
      <c r="ORN20" s="403"/>
      <c r="ORO20" s="403"/>
      <c r="ORP20" s="403"/>
      <c r="ORQ20" s="403" t="s">
        <v>99</v>
      </c>
      <c r="ORR20" s="403"/>
      <c r="ORS20" s="403"/>
      <c r="ORT20" s="403"/>
      <c r="ORU20" s="403"/>
      <c r="ORV20" s="403"/>
      <c r="ORW20" s="403"/>
      <c r="ORX20" s="403"/>
      <c r="ORY20" s="403"/>
      <c r="ORZ20" s="403"/>
      <c r="OSA20" s="403"/>
      <c r="OSB20" s="403"/>
      <c r="OSC20" s="403"/>
      <c r="OSD20" s="403"/>
      <c r="OSE20" s="403"/>
      <c r="OSF20" s="403"/>
      <c r="OSG20" s="403"/>
      <c r="OSH20" s="403"/>
      <c r="OSI20" s="403"/>
      <c r="OSJ20" s="403"/>
      <c r="OSK20" s="403"/>
      <c r="OSL20" s="403"/>
      <c r="OSM20" s="403"/>
      <c r="OSN20" s="403"/>
      <c r="OSO20" s="403"/>
      <c r="OSP20" s="403"/>
      <c r="OSQ20" s="403"/>
      <c r="OSR20" s="403"/>
      <c r="OSS20" s="403"/>
      <c r="OST20" s="403"/>
      <c r="OSU20" s="403"/>
      <c r="OSV20" s="403"/>
      <c r="OSW20" s="403" t="s">
        <v>99</v>
      </c>
      <c r="OSX20" s="403"/>
      <c r="OSY20" s="403"/>
      <c r="OSZ20" s="403"/>
      <c r="OTA20" s="403"/>
      <c r="OTB20" s="403"/>
      <c r="OTC20" s="403"/>
      <c r="OTD20" s="403"/>
      <c r="OTE20" s="403"/>
      <c r="OTF20" s="403"/>
      <c r="OTG20" s="403"/>
      <c r="OTH20" s="403"/>
      <c r="OTI20" s="403"/>
      <c r="OTJ20" s="403"/>
      <c r="OTK20" s="403"/>
      <c r="OTL20" s="403"/>
      <c r="OTM20" s="403"/>
      <c r="OTN20" s="403"/>
      <c r="OTO20" s="403"/>
      <c r="OTP20" s="403"/>
      <c r="OTQ20" s="403"/>
      <c r="OTR20" s="403"/>
      <c r="OTS20" s="403"/>
      <c r="OTT20" s="403"/>
      <c r="OTU20" s="403"/>
      <c r="OTV20" s="403"/>
      <c r="OTW20" s="403"/>
      <c r="OTX20" s="403"/>
      <c r="OTY20" s="403"/>
      <c r="OTZ20" s="403"/>
      <c r="OUA20" s="403"/>
      <c r="OUB20" s="403"/>
      <c r="OUC20" s="403" t="s">
        <v>99</v>
      </c>
      <c r="OUD20" s="403"/>
      <c r="OUE20" s="403"/>
      <c r="OUF20" s="403"/>
      <c r="OUG20" s="403"/>
      <c r="OUH20" s="403"/>
      <c r="OUI20" s="403"/>
      <c r="OUJ20" s="403"/>
      <c r="OUK20" s="403"/>
      <c r="OUL20" s="403"/>
      <c r="OUM20" s="403"/>
      <c r="OUN20" s="403"/>
      <c r="OUO20" s="403"/>
      <c r="OUP20" s="403"/>
      <c r="OUQ20" s="403"/>
      <c r="OUR20" s="403"/>
      <c r="OUS20" s="403"/>
      <c r="OUT20" s="403"/>
      <c r="OUU20" s="403"/>
      <c r="OUV20" s="403"/>
      <c r="OUW20" s="403"/>
      <c r="OUX20" s="403"/>
      <c r="OUY20" s="403"/>
      <c r="OUZ20" s="403"/>
      <c r="OVA20" s="403"/>
      <c r="OVB20" s="403"/>
      <c r="OVC20" s="403"/>
      <c r="OVD20" s="403"/>
      <c r="OVE20" s="403"/>
      <c r="OVF20" s="403"/>
      <c r="OVG20" s="403"/>
      <c r="OVH20" s="403"/>
      <c r="OVI20" s="403" t="s">
        <v>99</v>
      </c>
      <c r="OVJ20" s="403"/>
      <c r="OVK20" s="403"/>
      <c r="OVL20" s="403"/>
      <c r="OVM20" s="403"/>
      <c r="OVN20" s="403"/>
      <c r="OVO20" s="403"/>
      <c r="OVP20" s="403"/>
      <c r="OVQ20" s="403"/>
      <c r="OVR20" s="403"/>
      <c r="OVS20" s="403"/>
      <c r="OVT20" s="403"/>
      <c r="OVU20" s="403"/>
      <c r="OVV20" s="403"/>
      <c r="OVW20" s="403"/>
      <c r="OVX20" s="403"/>
      <c r="OVY20" s="403"/>
      <c r="OVZ20" s="403"/>
      <c r="OWA20" s="403"/>
      <c r="OWB20" s="403"/>
      <c r="OWC20" s="403"/>
      <c r="OWD20" s="403"/>
      <c r="OWE20" s="403"/>
      <c r="OWF20" s="403"/>
      <c r="OWG20" s="403"/>
      <c r="OWH20" s="403"/>
      <c r="OWI20" s="403"/>
      <c r="OWJ20" s="403"/>
      <c r="OWK20" s="403"/>
      <c r="OWL20" s="403"/>
      <c r="OWM20" s="403"/>
      <c r="OWN20" s="403"/>
      <c r="OWO20" s="403" t="s">
        <v>99</v>
      </c>
      <c r="OWP20" s="403"/>
      <c r="OWQ20" s="403"/>
      <c r="OWR20" s="403"/>
      <c r="OWS20" s="403"/>
      <c r="OWT20" s="403"/>
      <c r="OWU20" s="403"/>
      <c r="OWV20" s="403"/>
      <c r="OWW20" s="403"/>
      <c r="OWX20" s="403"/>
      <c r="OWY20" s="403"/>
      <c r="OWZ20" s="403"/>
      <c r="OXA20" s="403"/>
      <c r="OXB20" s="403"/>
      <c r="OXC20" s="403"/>
      <c r="OXD20" s="403"/>
      <c r="OXE20" s="403"/>
      <c r="OXF20" s="403"/>
      <c r="OXG20" s="403"/>
      <c r="OXH20" s="403"/>
      <c r="OXI20" s="403"/>
      <c r="OXJ20" s="403"/>
      <c r="OXK20" s="403"/>
      <c r="OXL20" s="403"/>
      <c r="OXM20" s="403"/>
      <c r="OXN20" s="403"/>
      <c r="OXO20" s="403"/>
      <c r="OXP20" s="403"/>
      <c r="OXQ20" s="403"/>
      <c r="OXR20" s="403"/>
      <c r="OXS20" s="403"/>
      <c r="OXT20" s="403"/>
      <c r="OXU20" s="403" t="s">
        <v>99</v>
      </c>
      <c r="OXV20" s="403"/>
      <c r="OXW20" s="403"/>
      <c r="OXX20" s="403"/>
      <c r="OXY20" s="403"/>
      <c r="OXZ20" s="403"/>
      <c r="OYA20" s="403"/>
      <c r="OYB20" s="403"/>
      <c r="OYC20" s="403"/>
      <c r="OYD20" s="403"/>
      <c r="OYE20" s="403"/>
      <c r="OYF20" s="403"/>
      <c r="OYG20" s="403"/>
      <c r="OYH20" s="403"/>
      <c r="OYI20" s="403"/>
      <c r="OYJ20" s="403"/>
      <c r="OYK20" s="403"/>
      <c r="OYL20" s="403"/>
      <c r="OYM20" s="403"/>
      <c r="OYN20" s="403"/>
      <c r="OYO20" s="403"/>
      <c r="OYP20" s="403"/>
      <c r="OYQ20" s="403"/>
      <c r="OYR20" s="403"/>
      <c r="OYS20" s="403"/>
      <c r="OYT20" s="403"/>
      <c r="OYU20" s="403"/>
      <c r="OYV20" s="403"/>
      <c r="OYW20" s="403"/>
      <c r="OYX20" s="403"/>
      <c r="OYY20" s="403"/>
      <c r="OYZ20" s="403"/>
      <c r="OZA20" s="403" t="s">
        <v>99</v>
      </c>
      <c r="OZB20" s="403"/>
      <c r="OZC20" s="403"/>
      <c r="OZD20" s="403"/>
      <c r="OZE20" s="403"/>
      <c r="OZF20" s="403"/>
      <c r="OZG20" s="403"/>
      <c r="OZH20" s="403"/>
      <c r="OZI20" s="403"/>
      <c r="OZJ20" s="403"/>
      <c r="OZK20" s="403"/>
      <c r="OZL20" s="403"/>
      <c r="OZM20" s="403"/>
      <c r="OZN20" s="403"/>
      <c r="OZO20" s="403"/>
      <c r="OZP20" s="403"/>
      <c r="OZQ20" s="403"/>
      <c r="OZR20" s="403"/>
      <c r="OZS20" s="403"/>
      <c r="OZT20" s="403"/>
      <c r="OZU20" s="403"/>
      <c r="OZV20" s="403"/>
      <c r="OZW20" s="403"/>
      <c r="OZX20" s="403"/>
      <c r="OZY20" s="403"/>
      <c r="OZZ20" s="403"/>
      <c r="PAA20" s="403"/>
      <c r="PAB20" s="403"/>
      <c r="PAC20" s="403"/>
      <c r="PAD20" s="403"/>
      <c r="PAE20" s="403"/>
      <c r="PAF20" s="403"/>
      <c r="PAG20" s="403" t="s">
        <v>99</v>
      </c>
      <c r="PAH20" s="403"/>
      <c r="PAI20" s="403"/>
      <c r="PAJ20" s="403"/>
      <c r="PAK20" s="403"/>
      <c r="PAL20" s="403"/>
      <c r="PAM20" s="403"/>
      <c r="PAN20" s="403"/>
      <c r="PAO20" s="403"/>
      <c r="PAP20" s="403"/>
      <c r="PAQ20" s="403"/>
      <c r="PAR20" s="403"/>
      <c r="PAS20" s="403"/>
      <c r="PAT20" s="403"/>
      <c r="PAU20" s="403"/>
      <c r="PAV20" s="403"/>
      <c r="PAW20" s="403"/>
      <c r="PAX20" s="403"/>
      <c r="PAY20" s="403"/>
      <c r="PAZ20" s="403"/>
      <c r="PBA20" s="403"/>
      <c r="PBB20" s="403"/>
      <c r="PBC20" s="403"/>
      <c r="PBD20" s="403"/>
      <c r="PBE20" s="403"/>
      <c r="PBF20" s="403"/>
      <c r="PBG20" s="403"/>
      <c r="PBH20" s="403"/>
      <c r="PBI20" s="403"/>
      <c r="PBJ20" s="403"/>
      <c r="PBK20" s="403"/>
      <c r="PBL20" s="403"/>
      <c r="PBM20" s="403" t="s">
        <v>99</v>
      </c>
      <c r="PBN20" s="403"/>
      <c r="PBO20" s="403"/>
      <c r="PBP20" s="403"/>
      <c r="PBQ20" s="403"/>
      <c r="PBR20" s="403"/>
      <c r="PBS20" s="403"/>
      <c r="PBT20" s="403"/>
      <c r="PBU20" s="403"/>
      <c r="PBV20" s="403"/>
      <c r="PBW20" s="403"/>
      <c r="PBX20" s="403"/>
      <c r="PBY20" s="403"/>
      <c r="PBZ20" s="403"/>
      <c r="PCA20" s="403"/>
      <c r="PCB20" s="403"/>
      <c r="PCC20" s="403"/>
      <c r="PCD20" s="403"/>
      <c r="PCE20" s="403"/>
      <c r="PCF20" s="403"/>
      <c r="PCG20" s="403"/>
      <c r="PCH20" s="403"/>
      <c r="PCI20" s="403"/>
      <c r="PCJ20" s="403"/>
      <c r="PCK20" s="403"/>
      <c r="PCL20" s="403"/>
      <c r="PCM20" s="403"/>
      <c r="PCN20" s="403"/>
      <c r="PCO20" s="403"/>
      <c r="PCP20" s="403"/>
      <c r="PCQ20" s="403"/>
      <c r="PCR20" s="403"/>
      <c r="PCS20" s="403" t="s">
        <v>99</v>
      </c>
      <c r="PCT20" s="403"/>
      <c r="PCU20" s="403"/>
      <c r="PCV20" s="403"/>
      <c r="PCW20" s="403"/>
      <c r="PCX20" s="403"/>
      <c r="PCY20" s="403"/>
      <c r="PCZ20" s="403"/>
      <c r="PDA20" s="403"/>
      <c r="PDB20" s="403"/>
      <c r="PDC20" s="403"/>
      <c r="PDD20" s="403"/>
      <c r="PDE20" s="403"/>
      <c r="PDF20" s="403"/>
      <c r="PDG20" s="403"/>
      <c r="PDH20" s="403"/>
      <c r="PDI20" s="403"/>
      <c r="PDJ20" s="403"/>
      <c r="PDK20" s="403"/>
      <c r="PDL20" s="403"/>
      <c r="PDM20" s="403"/>
      <c r="PDN20" s="403"/>
      <c r="PDO20" s="403"/>
      <c r="PDP20" s="403"/>
      <c r="PDQ20" s="403"/>
      <c r="PDR20" s="403"/>
      <c r="PDS20" s="403"/>
      <c r="PDT20" s="403"/>
      <c r="PDU20" s="403"/>
      <c r="PDV20" s="403"/>
      <c r="PDW20" s="403"/>
      <c r="PDX20" s="403"/>
      <c r="PDY20" s="403" t="s">
        <v>99</v>
      </c>
      <c r="PDZ20" s="403"/>
      <c r="PEA20" s="403"/>
      <c r="PEB20" s="403"/>
      <c r="PEC20" s="403"/>
      <c r="PED20" s="403"/>
      <c r="PEE20" s="403"/>
      <c r="PEF20" s="403"/>
      <c r="PEG20" s="403"/>
      <c r="PEH20" s="403"/>
      <c r="PEI20" s="403"/>
      <c r="PEJ20" s="403"/>
      <c r="PEK20" s="403"/>
      <c r="PEL20" s="403"/>
      <c r="PEM20" s="403"/>
      <c r="PEN20" s="403"/>
      <c r="PEO20" s="403"/>
      <c r="PEP20" s="403"/>
      <c r="PEQ20" s="403"/>
      <c r="PER20" s="403"/>
      <c r="PES20" s="403"/>
      <c r="PET20" s="403"/>
      <c r="PEU20" s="403"/>
      <c r="PEV20" s="403"/>
      <c r="PEW20" s="403"/>
      <c r="PEX20" s="403"/>
      <c r="PEY20" s="403"/>
      <c r="PEZ20" s="403"/>
      <c r="PFA20" s="403"/>
      <c r="PFB20" s="403"/>
      <c r="PFC20" s="403"/>
      <c r="PFD20" s="403"/>
      <c r="PFE20" s="403" t="s">
        <v>99</v>
      </c>
      <c r="PFF20" s="403"/>
      <c r="PFG20" s="403"/>
      <c r="PFH20" s="403"/>
      <c r="PFI20" s="403"/>
      <c r="PFJ20" s="403"/>
      <c r="PFK20" s="403"/>
      <c r="PFL20" s="403"/>
      <c r="PFM20" s="403"/>
      <c r="PFN20" s="403"/>
      <c r="PFO20" s="403"/>
      <c r="PFP20" s="403"/>
      <c r="PFQ20" s="403"/>
      <c r="PFR20" s="403"/>
      <c r="PFS20" s="403"/>
      <c r="PFT20" s="403"/>
      <c r="PFU20" s="403"/>
      <c r="PFV20" s="403"/>
      <c r="PFW20" s="403"/>
      <c r="PFX20" s="403"/>
      <c r="PFY20" s="403"/>
      <c r="PFZ20" s="403"/>
      <c r="PGA20" s="403"/>
      <c r="PGB20" s="403"/>
      <c r="PGC20" s="403"/>
      <c r="PGD20" s="403"/>
      <c r="PGE20" s="403"/>
      <c r="PGF20" s="403"/>
      <c r="PGG20" s="403"/>
      <c r="PGH20" s="403"/>
      <c r="PGI20" s="403"/>
      <c r="PGJ20" s="403"/>
      <c r="PGK20" s="403" t="s">
        <v>99</v>
      </c>
      <c r="PGL20" s="403"/>
      <c r="PGM20" s="403"/>
      <c r="PGN20" s="403"/>
      <c r="PGO20" s="403"/>
      <c r="PGP20" s="403"/>
      <c r="PGQ20" s="403"/>
      <c r="PGR20" s="403"/>
      <c r="PGS20" s="403"/>
      <c r="PGT20" s="403"/>
      <c r="PGU20" s="403"/>
      <c r="PGV20" s="403"/>
      <c r="PGW20" s="403"/>
      <c r="PGX20" s="403"/>
      <c r="PGY20" s="403"/>
      <c r="PGZ20" s="403"/>
      <c r="PHA20" s="403"/>
      <c r="PHB20" s="403"/>
      <c r="PHC20" s="403"/>
      <c r="PHD20" s="403"/>
      <c r="PHE20" s="403"/>
      <c r="PHF20" s="403"/>
      <c r="PHG20" s="403"/>
      <c r="PHH20" s="403"/>
      <c r="PHI20" s="403"/>
      <c r="PHJ20" s="403"/>
      <c r="PHK20" s="403"/>
      <c r="PHL20" s="403"/>
      <c r="PHM20" s="403"/>
      <c r="PHN20" s="403"/>
      <c r="PHO20" s="403"/>
      <c r="PHP20" s="403"/>
      <c r="PHQ20" s="403" t="s">
        <v>99</v>
      </c>
      <c r="PHR20" s="403"/>
      <c r="PHS20" s="403"/>
      <c r="PHT20" s="403"/>
      <c r="PHU20" s="403"/>
      <c r="PHV20" s="403"/>
      <c r="PHW20" s="403"/>
      <c r="PHX20" s="403"/>
      <c r="PHY20" s="403"/>
      <c r="PHZ20" s="403"/>
      <c r="PIA20" s="403"/>
      <c r="PIB20" s="403"/>
      <c r="PIC20" s="403"/>
      <c r="PID20" s="403"/>
      <c r="PIE20" s="403"/>
      <c r="PIF20" s="403"/>
      <c r="PIG20" s="403"/>
      <c r="PIH20" s="403"/>
      <c r="PII20" s="403"/>
      <c r="PIJ20" s="403"/>
      <c r="PIK20" s="403"/>
      <c r="PIL20" s="403"/>
      <c r="PIM20" s="403"/>
      <c r="PIN20" s="403"/>
      <c r="PIO20" s="403"/>
      <c r="PIP20" s="403"/>
      <c r="PIQ20" s="403"/>
      <c r="PIR20" s="403"/>
      <c r="PIS20" s="403"/>
      <c r="PIT20" s="403"/>
      <c r="PIU20" s="403"/>
      <c r="PIV20" s="403"/>
      <c r="PIW20" s="403" t="s">
        <v>99</v>
      </c>
      <c r="PIX20" s="403"/>
      <c r="PIY20" s="403"/>
      <c r="PIZ20" s="403"/>
      <c r="PJA20" s="403"/>
      <c r="PJB20" s="403"/>
      <c r="PJC20" s="403"/>
      <c r="PJD20" s="403"/>
      <c r="PJE20" s="403"/>
      <c r="PJF20" s="403"/>
      <c r="PJG20" s="403"/>
      <c r="PJH20" s="403"/>
      <c r="PJI20" s="403"/>
      <c r="PJJ20" s="403"/>
      <c r="PJK20" s="403"/>
      <c r="PJL20" s="403"/>
      <c r="PJM20" s="403"/>
      <c r="PJN20" s="403"/>
      <c r="PJO20" s="403"/>
      <c r="PJP20" s="403"/>
      <c r="PJQ20" s="403"/>
      <c r="PJR20" s="403"/>
      <c r="PJS20" s="403"/>
      <c r="PJT20" s="403"/>
      <c r="PJU20" s="403"/>
      <c r="PJV20" s="403"/>
      <c r="PJW20" s="403"/>
      <c r="PJX20" s="403"/>
      <c r="PJY20" s="403"/>
      <c r="PJZ20" s="403"/>
      <c r="PKA20" s="403"/>
      <c r="PKB20" s="403"/>
      <c r="PKC20" s="403" t="s">
        <v>99</v>
      </c>
      <c r="PKD20" s="403"/>
      <c r="PKE20" s="403"/>
      <c r="PKF20" s="403"/>
      <c r="PKG20" s="403"/>
      <c r="PKH20" s="403"/>
      <c r="PKI20" s="403"/>
      <c r="PKJ20" s="403"/>
      <c r="PKK20" s="403"/>
      <c r="PKL20" s="403"/>
      <c r="PKM20" s="403"/>
      <c r="PKN20" s="403"/>
      <c r="PKO20" s="403"/>
      <c r="PKP20" s="403"/>
      <c r="PKQ20" s="403"/>
      <c r="PKR20" s="403"/>
      <c r="PKS20" s="403"/>
      <c r="PKT20" s="403"/>
      <c r="PKU20" s="403"/>
      <c r="PKV20" s="403"/>
      <c r="PKW20" s="403"/>
      <c r="PKX20" s="403"/>
      <c r="PKY20" s="403"/>
      <c r="PKZ20" s="403"/>
      <c r="PLA20" s="403"/>
      <c r="PLB20" s="403"/>
      <c r="PLC20" s="403"/>
      <c r="PLD20" s="403"/>
      <c r="PLE20" s="403"/>
      <c r="PLF20" s="403"/>
      <c r="PLG20" s="403"/>
      <c r="PLH20" s="403"/>
      <c r="PLI20" s="403" t="s">
        <v>99</v>
      </c>
      <c r="PLJ20" s="403"/>
      <c r="PLK20" s="403"/>
      <c r="PLL20" s="403"/>
      <c r="PLM20" s="403"/>
      <c r="PLN20" s="403"/>
      <c r="PLO20" s="403"/>
      <c r="PLP20" s="403"/>
      <c r="PLQ20" s="403"/>
      <c r="PLR20" s="403"/>
      <c r="PLS20" s="403"/>
      <c r="PLT20" s="403"/>
      <c r="PLU20" s="403"/>
      <c r="PLV20" s="403"/>
      <c r="PLW20" s="403"/>
      <c r="PLX20" s="403"/>
      <c r="PLY20" s="403"/>
      <c r="PLZ20" s="403"/>
      <c r="PMA20" s="403"/>
      <c r="PMB20" s="403"/>
      <c r="PMC20" s="403"/>
      <c r="PMD20" s="403"/>
      <c r="PME20" s="403"/>
      <c r="PMF20" s="403"/>
      <c r="PMG20" s="403"/>
      <c r="PMH20" s="403"/>
      <c r="PMI20" s="403"/>
      <c r="PMJ20" s="403"/>
      <c r="PMK20" s="403"/>
      <c r="PML20" s="403"/>
      <c r="PMM20" s="403"/>
      <c r="PMN20" s="403"/>
      <c r="PMO20" s="403" t="s">
        <v>99</v>
      </c>
      <c r="PMP20" s="403"/>
      <c r="PMQ20" s="403"/>
      <c r="PMR20" s="403"/>
      <c r="PMS20" s="403"/>
      <c r="PMT20" s="403"/>
      <c r="PMU20" s="403"/>
      <c r="PMV20" s="403"/>
      <c r="PMW20" s="403"/>
      <c r="PMX20" s="403"/>
      <c r="PMY20" s="403"/>
      <c r="PMZ20" s="403"/>
      <c r="PNA20" s="403"/>
      <c r="PNB20" s="403"/>
      <c r="PNC20" s="403"/>
      <c r="PND20" s="403"/>
      <c r="PNE20" s="403"/>
      <c r="PNF20" s="403"/>
      <c r="PNG20" s="403"/>
      <c r="PNH20" s="403"/>
      <c r="PNI20" s="403"/>
      <c r="PNJ20" s="403"/>
      <c r="PNK20" s="403"/>
      <c r="PNL20" s="403"/>
      <c r="PNM20" s="403"/>
      <c r="PNN20" s="403"/>
      <c r="PNO20" s="403"/>
      <c r="PNP20" s="403"/>
      <c r="PNQ20" s="403"/>
      <c r="PNR20" s="403"/>
      <c r="PNS20" s="403"/>
      <c r="PNT20" s="403"/>
      <c r="PNU20" s="403" t="s">
        <v>99</v>
      </c>
      <c r="PNV20" s="403"/>
      <c r="PNW20" s="403"/>
      <c r="PNX20" s="403"/>
      <c r="PNY20" s="403"/>
      <c r="PNZ20" s="403"/>
      <c r="POA20" s="403"/>
      <c r="POB20" s="403"/>
      <c r="POC20" s="403"/>
      <c r="POD20" s="403"/>
      <c r="POE20" s="403"/>
      <c r="POF20" s="403"/>
      <c r="POG20" s="403"/>
      <c r="POH20" s="403"/>
      <c r="POI20" s="403"/>
      <c r="POJ20" s="403"/>
      <c r="POK20" s="403"/>
      <c r="POL20" s="403"/>
      <c r="POM20" s="403"/>
      <c r="PON20" s="403"/>
      <c r="POO20" s="403"/>
      <c r="POP20" s="403"/>
      <c r="POQ20" s="403"/>
      <c r="POR20" s="403"/>
      <c r="POS20" s="403"/>
      <c r="POT20" s="403"/>
      <c r="POU20" s="403"/>
      <c r="POV20" s="403"/>
      <c r="POW20" s="403"/>
      <c r="POX20" s="403"/>
      <c r="POY20" s="403"/>
      <c r="POZ20" s="403"/>
      <c r="PPA20" s="403" t="s">
        <v>99</v>
      </c>
      <c r="PPB20" s="403"/>
      <c r="PPC20" s="403"/>
      <c r="PPD20" s="403"/>
      <c r="PPE20" s="403"/>
      <c r="PPF20" s="403"/>
      <c r="PPG20" s="403"/>
      <c r="PPH20" s="403"/>
      <c r="PPI20" s="403"/>
      <c r="PPJ20" s="403"/>
      <c r="PPK20" s="403"/>
      <c r="PPL20" s="403"/>
      <c r="PPM20" s="403"/>
      <c r="PPN20" s="403"/>
      <c r="PPO20" s="403"/>
      <c r="PPP20" s="403"/>
      <c r="PPQ20" s="403"/>
      <c r="PPR20" s="403"/>
      <c r="PPS20" s="403"/>
      <c r="PPT20" s="403"/>
      <c r="PPU20" s="403"/>
      <c r="PPV20" s="403"/>
      <c r="PPW20" s="403"/>
      <c r="PPX20" s="403"/>
      <c r="PPY20" s="403"/>
      <c r="PPZ20" s="403"/>
      <c r="PQA20" s="403"/>
      <c r="PQB20" s="403"/>
      <c r="PQC20" s="403"/>
      <c r="PQD20" s="403"/>
      <c r="PQE20" s="403"/>
      <c r="PQF20" s="403"/>
      <c r="PQG20" s="403" t="s">
        <v>99</v>
      </c>
      <c r="PQH20" s="403"/>
      <c r="PQI20" s="403"/>
      <c r="PQJ20" s="403"/>
      <c r="PQK20" s="403"/>
      <c r="PQL20" s="403"/>
      <c r="PQM20" s="403"/>
      <c r="PQN20" s="403"/>
      <c r="PQO20" s="403"/>
      <c r="PQP20" s="403"/>
      <c r="PQQ20" s="403"/>
      <c r="PQR20" s="403"/>
      <c r="PQS20" s="403"/>
      <c r="PQT20" s="403"/>
      <c r="PQU20" s="403"/>
      <c r="PQV20" s="403"/>
      <c r="PQW20" s="403"/>
      <c r="PQX20" s="403"/>
      <c r="PQY20" s="403"/>
      <c r="PQZ20" s="403"/>
      <c r="PRA20" s="403"/>
      <c r="PRB20" s="403"/>
      <c r="PRC20" s="403"/>
      <c r="PRD20" s="403"/>
      <c r="PRE20" s="403"/>
      <c r="PRF20" s="403"/>
      <c r="PRG20" s="403"/>
      <c r="PRH20" s="403"/>
      <c r="PRI20" s="403"/>
      <c r="PRJ20" s="403"/>
      <c r="PRK20" s="403"/>
      <c r="PRL20" s="403"/>
      <c r="PRM20" s="403" t="s">
        <v>99</v>
      </c>
      <c r="PRN20" s="403"/>
      <c r="PRO20" s="403"/>
      <c r="PRP20" s="403"/>
      <c r="PRQ20" s="403"/>
      <c r="PRR20" s="403"/>
      <c r="PRS20" s="403"/>
      <c r="PRT20" s="403"/>
      <c r="PRU20" s="403"/>
      <c r="PRV20" s="403"/>
      <c r="PRW20" s="403"/>
      <c r="PRX20" s="403"/>
      <c r="PRY20" s="403"/>
      <c r="PRZ20" s="403"/>
      <c r="PSA20" s="403"/>
      <c r="PSB20" s="403"/>
      <c r="PSC20" s="403"/>
      <c r="PSD20" s="403"/>
      <c r="PSE20" s="403"/>
      <c r="PSF20" s="403"/>
      <c r="PSG20" s="403"/>
      <c r="PSH20" s="403"/>
      <c r="PSI20" s="403"/>
      <c r="PSJ20" s="403"/>
      <c r="PSK20" s="403"/>
      <c r="PSL20" s="403"/>
      <c r="PSM20" s="403"/>
      <c r="PSN20" s="403"/>
      <c r="PSO20" s="403"/>
      <c r="PSP20" s="403"/>
      <c r="PSQ20" s="403"/>
      <c r="PSR20" s="403"/>
      <c r="PSS20" s="403" t="s">
        <v>99</v>
      </c>
      <c r="PST20" s="403"/>
      <c r="PSU20" s="403"/>
      <c r="PSV20" s="403"/>
      <c r="PSW20" s="403"/>
      <c r="PSX20" s="403"/>
      <c r="PSY20" s="403"/>
      <c r="PSZ20" s="403"/>
      <c r="PTA20" s="403"/>
      <c r="PTB20" s="403"/>
      <c r="PTC20" s="403"/>
      <c r="PTD20" s="403"/>
      <c r="PTE20" s="403"/>
      <c r="PTF20" s="403"/>
      <c r="PTG20" s="403"/>
      <c r="PTH20" s="403"/>
      <c r="PTI20" s="403"/>
      <c r="PTJ20" s="403"/>
      <c r="PTK20" s="403"/>
      <c r="PTL20" s="403"/>
      <c r="PTM20" s="403"/>
      <c r="PTN20" s="403"/>
      <c r="PTO20" s="403"/>
      <c r="PTP20" s="403"/>
      <c r="PTQ20" s="403"/>
      <c r="PTR20" s="403"/>
      <c r="PTS20" s="403"/>
      <c r="PTT20" s="403"/>
      <c r="PTU20" s="403"/>
      <c r="PTV20" s="403"/>
      <c r="PTW20" s="403"/>
      <c r="PTX20" s="403"/>
      <c r="PTY20" s="403" t="s">
        <v>99</v>
      </c>
      <c r="PTZ20" s="403"/>
      <c r="PUA20" s="403"/>
      <c r="PUB20" s="403"/>
      <c r="PUC20" s="403"/>
      <c r="PUD20" s="403"/>
      <c r="PUE20" s="403"/>
      <c r="PUF20" s="403"/>
      <c r="PUG20" s="403"/>
      <c r="PUH20" s="403"/>
      <c r="PUI20" s="403"/>
      <c r="PUJ20" s="403"/>
      <c r="PUK20" s="403"/>
      <c r="PUL20" s="403"/>
      <c r="PUM20" s="403"/>
      <c r="PUN20" s="403"/>
      <c r="PUO20" s="403"/>
      <c r="PUP20" s="403"/>
      <c r="PUQ20" s="403"/>
      <c r="PUR20" s="403"/>
      <c r="PUS20" s="403"/>
      <c r="PUT20" s="403"/>
      <c r="PUU20" s="403"/>
      <c r="PUV20" s="403"/>
      <c r="PUW20" s="403"/>
      <c r="PUX20" s="403"/>
      <c r="PUY20" s="403"/>
      <c r="PUZ20" s="403"/>
      <c r="PVA20" s="403"/>
      <c r="PVB20" s="403"/>
      <c r="PVC20" s="403"/>
      <c r="PVD20" s="403"/>
      <c r="PVE20" s="403" t="s">
        <v>99</v>
      </c>
      <c r="PVF20" s="403"/>
      <c r="PVG20" s="403"/>
      <c r="PVH20" s="403"/>
      <c r="PVI20" s="403"/>
      <c r="PVJ20" s="403"/>
      <c r="PVK20" s="403"/>
      <c r="PVL20" s="403"/>
      <c r="PVM20" s="403"/>
      <c r="PVN20" s="403"/>
      <c r="PVO20" s="403"/>
      <c r="PVP20" s="403"/>
      <c r="PVQ20" s="403"/>
      <c r="PVR20" s="403"/>
      <c r="PVS20" s="403"/>
      <c r="PVT20" s="403"/>
      <c r="PVU20" s="403"/>
      <c r="PVV20" s="403"/>
      <c r="PVW20" s="403"/>
      <c r="PVX20" s="403"/>
      <c r="PVY20" s="403"/>
      <c r="PVZ20" s="403"/>
      <c r="PWA20" s="403"/>
      <c r="PWB20" s="403"/>
      <c r="PWC20" s="403"/>
      <c r="PWD20" s="403"/>
      <c r="PWE20" s="403"/>
      <c r="PWF20" s="403"/>
      <c r="PWG20" s="403"/>
      <c r="PWH20" s="403"/>
      <c r="PWI20" s="403"/>
      <c r="PWJ20" s="403"/>
      <c r="PWK20" s="403" t="s">
        <v>99</v>
      </c>
      <c r="PWL20" s="403"/>
      <c r="PWM20" s="403"/>
      <c r="PWN20" s="403"/>
      <c r="PWO20" s="403"/>
      <c r="PWP20" s="403"/>
      <c r="PWQ20" s="403"/>
      <c r="PWR20" s="403"/>
      <c r="PWS20" s="403"/>
      <c r="PWT20" s="403"/>
      <c r="PWU20" s="403"/>
      <c r="PWV20" s="403"/>
      <c r="PWW20" s="403"/>
      <c r="PWX20" s="403"/>
      <c r="PWY20" s="403"/>
      <c r="PWZ20" s="403"/>
      <c r="PXA20" s="403"/>
      <c r="PXB20" s="403"/>
      <c r="PXC20" s="403"/>
      <c r="PXD20" s="403"/>
      <c r="PXE20" s="403"/>
      <c r="PXF20" s="403"/>
      <c r="PXG20" s="403"/>
      <c r="PXH20" s="403"/>
      <c r="PXI20" s="403"/>
      <c r="PXJ20" s="403"/>
      <c r="PXK20" s="403"/>
      <c r="PXL20" s="403"/>
      <c r="PXM20" s="403"/>
      <c r="PXN20" s="403"/>
      <c r="PXO20" s="403"/>
      <c r="PXP20" s="403"/>
      <c r="PXQ20" s="403" t="s">
        <v>99</v>
      </c>
      <c r="PXR20" s="403"/>
      <c r="PXS20" s="403"/>
      <c r="PXT20" s="403"/>
      <c r="PXU20" s="403"/>
      <c r="PXV20" s="403"/>
      <c r="PXW20" s="403"/>
      <c r="PXX20" s="403"/>
      <c r="PXY20" s="403"/>
      <c r="PXZ20" s="403"/>
      <c r="PYA20" s="403"/>
      <c r="PYB20" s="403"/>
      <c r="PYC20" s="403"/>
      <c r="PYD20" s="403"/>
      <c r="PYE20" s="403"/>
      <c r="PYF20" s="403"/>
      <c r="PYG20" s="403"/>
      <c r="PYH20" s="403"/>
      <c r="PYI20" s="403"/>
      <c r="PYJ20" s="403"/>
      <c r="PYK20" s="403"/>
      <c r="PYL20" s="403"/>
      <c r="PYM20" s="403"/>
      <c r="PYN20" s="403"/>
      <c r="PYO20" s="403"/>
      <c r="PYP20" s="403"/>
      <c r="PYQ20" s="403"/>
      <c r="PYR20" s="403"/>
      <c r="PYS20" s="403"/>
      <c r="PYT20" s="403"/>
      <c r="PYU20" s="403"/>
      <c r="PYV20" s="403"/>
      <c r="PYW20" s="403" t="s">
        <v>99</v>
      </c>
      <c r="PYX20" s="403"/>
      <c r="PYY20" s="403"/>
      <c r="PYZ20" s="403"/>
      <c r="PZA20" s="403"/>
      <c r="PZB20" s="403"/>
      <c r="PZC20" s="403"/>
      <c r="PZD20" s="403"/>
      <c r="PZE20" s="403"/>
      <c r="PZF20" s="403"/>
      <c r="PZG20" s="403"/>
      <c r="PZH20" s="403"/>
      <c r="PZI20" s="403"/>
      <c r="PZJ20" s="403"/>
      <c r="PZK20" s="403"/>
      <c r="PZL20" s="403"/>
      <c r="PZM20" s="403"/>
      <c r="PZN20" s="403"/>
      <c r="PZO20" s="403"/>
      <c r="PZP20" s="403"/>
      <c r="PZQ20" s="403"/>
      <c r="PZR20" s="403"/>
      <c r="PZS20" s="403"/>
      <c r="PZT20" s="403"/>
      <c r="PZU20" s="403"/>
      <c r="PZV20" s="403"/>
      <c r="PZW20" s="403"/>
      <c r="PZX20" s="403"/>
      <c r="PZY20" s="403"/>
      <c r="PZZ20" s="403"/>
      <c r="QAA20" s="403"/>
      <c r="QAB20" s="403"/>
      <c r="QAC20" s="403" t="s">
        <v>99</v>
      </c>
      <c r="QAD20" s="403"/>
      <c r="QAE20" s="403"/>
      <c r="QAF20" s="403"/>
      <c r="QAG20" s="403"/>
      <c r="QAH20" s="403"/>
      <c r="QAI20" s="403"/>
      <c r="QAJ20" s="403"/>
      <c r="QAK20" s="403"/>
      <c r="QAL20" s="403"/>
      <c r="QAM20" s="403"/>
      <c r="QAN20" s="403"/>
      <c r="QAO20" s="403"/>
      <c r="QAP20" s="403"/>
      <c r="QAQ20" s="403"/>
      <c r="QAR20" s="403"/>
      <c r="QAS20" s="403"/>
      <c r="QAT20" s="403"/>
      <c r="QAU20" s="403"/>
      <c r="QAV20" s="403"/>
      <c r="QAW20" s="403"/>
      <c r="QAX20" s="403"/>
      <c r="QAY20" s="403"/>
      <c r="QAZ20" s="403"/>
      <c r="QBA20" s="403"/>
      <c r="QBB20" s="403"/>
      <c r="QBC20" s="403"/>
      <c r="QBD20" s="403"/>
      <c r="QBE20" s="403"/>
      <c r="QBF20" s="403"/>
      <c r="QBG20" s="403"/>
      <c r="QBH20" s="403"/>
      <c r="QBI20" s="403" t="s">
        <v>99</v>
      </c>
      <c r="QBJ20" s="403"/>
      <c r="QBK20" s="403"/>
      <c r="QBL20" s="403"/>
      <c r="QBM20" s="403"/>
      <c r="QBN20" s="403"/>
      <c r="QBO20" s="403"/>
      <c r="QBP20" s="403"/>
      <c r="QBQ20" s="403"/>
      <c r="QBR20" s="403"/>
      <c r="QBS20" s="403"/>
      <c r="QBT20" s="403"/>
      <c r="QBU20" s="403"/>
      <c r="QBV20" s="403"/>
      <c r="QBW20" s="403"/>
      <c r="QBX20" s="403"/>
      <c r="QBY20" s="403"/>
      <c r="QBZ20" s="403"/>
      <c r="QCA20" s="403"/>
      <c r="QCB20" s="403"/>
      <c r="QCC20" s="403"/>
      <c r="QCD20" s="403"/>
      <c r="QCE20" s="403"/>
      <c r="QCF20" s="403"/>
      <c r="QCG20" s="403"/>
      <c r="QCH20" s="403"/>
      <c r="QCI20" s="403"/>
      <c r="QCJ20" s="403"/>
      <c r="QCK20" s="403"/>
      <c r="QCL20" s="403"/>
      <c r="QCM20" s="403"/>
      <c r="QCN20" s="403"/>
      <c r="QCO20" s="403" t="s">
        <v>99</v>
      </c>
      <c r="QCP20" s="403"/>
      <c r="QCQ20" s="403"/>
      <c r="QCR20" s="403"/>
      <c r="QCS20" s="403"/>
      <c r="QCT20" s="403"/>
      <c r="QCU20" s="403"/>
      <c r="QCV20" s="403"/>
      <c r="QCW20" s="403"/>
      <c r="QCX20" s="403"/>
      <c r="QCY20" s="403"/>
      <c r="QCZ20" s="403"/>
      <c r="QDA20" s="403"/>
      <c r="QDB20" s="403"/>
      <c r="QDC20" s="403"/>
      <c r="QDD20" s="403"/>
      <c r="QDE20" s="403"/>
      <c r="QDF20" s="403"/>
      <c r="QDG20" s="403"/>
      <c r="QDH20" s="403"/>
      <c r="QDI20" s="403"/>
      <c r="QDJ20" s="403"/>
      <c r="QDK20" s="403"/>
      <c r="QDL20" s="403"/>
      <c r="QDM20" s="403"/>
      <c r="QDN20" s="403"/>
      <c r="QDO20" s="403"/>
      <c r="QDP20" s="403"/>
      <c r="QDQ20" s="403"/>
      <c r="QDR20" s="403"/>
      <c r="QDS20" s="403"/>
      <c r="QDT20" s="403"/>
      <c r="QDU20" s="403" t="s">
        <v>99</v>
      </c>
      <c r="QDV20" s="403"/>
      <c r="QDW20" s="403"/>
      <c r="QDX20" s="403"/>
      <c r="QDY20" s="403"/>
      <c r="QDZ20" s="403"/>
      <c r="QEA20" s="403"/>
      <c r="QEB20" s="403"/>
      <c r="QEC20" s="403"/>
      <c r="QED20" s="403"/>
      <c r="QEE20" s="403"/>
      <c r="QEF20" s="403"/>
      <c r="QEG20" s="403"/>
      <c r="QEH20" s="403"/>
      <c r="QEI20" s="403"/>
      <c r="QEJ20" s="403"/>
      <c r="QEK20" s="403"/>
      <c r="QEL20" s="403"/>
      <c r="QEM20" s="403"/>
      <c r="QEN20" s="403"/>
      <c r="QEO20" s="403"/>
      <c r="QEP20" s="403"/>
      <c r="QEQ20" s="403"/>
      <c r="QER20" s="403"/>
      <c r="QES20" s="403"/>
      <c r="QET20" s="403"/>
      <c r="QEU20" s="403"/>
      <c r="QEV20" s="403"/>
      <c r="QEW20" s="403"/>
      <c r="QEX20" s="403"/>
      <c r="QEY20" s="403"/>
      <c r="QEZ20" s="403"/>
      <c r="QFA20" s="403" t="s">
        <v>99</v>
      </c>
      <c r="QFB20" s="403"/>
      <c r="QFC20" s="403"/>
      <c r="QFD20" s="403"/>
      <c r="QFE20" s="403"/>
      <c r="QFF20" s="403"/>
      <c r="QFG20" s="403"/>
      <c r="QFH20" s="403"/>
      <c r="QFI20" s="403"/>
      <c r="QFJ20" s="403"/>
      <c r="QFK20" s="403"/>
      <c r="QFL20" s="403"/>
      <c r="QFM20" s="403"/>
      <c r="QFN20" s="403"/>
      <c r="QFO20" s="403"/>
      <c r="QFP20" s="403"/>
      <c r="QFQ20" s="403"/>
      <c r="QFR20" s="403"/>
      <c r="QFS20" s="403"/>
      <c r="QFT20" s="403"/>
      <c r="QFU20" s="403"/>
      <c r="QFV20" s="403"/>
      <c r="QFW20" s="403"/>
      <c r="QFX20" s="403"/>
      <c r="QFY20" s="403"/>
      <c r="QFZ20" s="403"/>
      <c r="QGA20" s="403"/>
      <c r="QGB20" s="403"/>
      <c r="QGC20" s="403"/>
      <c r="QGD20" s="403"/>
      <c r="QGE20" s="403"/>
      <c r="QGF20" s="403"/>
      <c r="QGG20" s="403" t="s">
        <v>99</v>
      </c>
      <c r="QGH20" s="403"/>
      <c r="QGI20" s="403"/>
      <c r="QGJ20" s="403"/>
      <c r="QGK20" s="403"/>
      <c r="QGL20" s="403"/>
      <c r="QGM20" s="403"/>
      <c r="QGN20" s="403"/>
      <c r="QGO20" s="403"/>
      <c r="QGP20" s="403"/>
      <c r="QGQ20" s="403"/>
      <c r="QGR20" s="403"/>
      <c r="QGS20" s="403"/>
      <c r="QGT20" s="403"/>
      <c r="QGU20" s="403"/>
      <c r="QGV20" s="403"/>
      <c r="QGW20" s="403"/>
      <c r="QGX20" s="403"/>
      <c r="QGY20" s="403"/>
      <c r="QGZ20" s="403"/>
      <c r="QHA20" s="403"/>
      <c r="QHB20" s="403"/>
      <c r="QHC20" s="403"/>
      <c r="QHD20" s="403"/>
      <c r="QHE20" s="403"/>
      <c r="QHF20" s="403"/>
      <c r="QHG20" s="403"/>
      <c r="QHH20" s="403"/>
      <c r="QHI20" s="403"/>
      <c r="QHJ20" s="403"/>
      <c r="QHK20" s="403"/>
      <c r="QHL20" s="403"/>
      <c r="QHM20" s="403" t="s">
        <v>99</v>
      </c>
      <c r="QHN20" s="403"/>
      <c r="QHO20" s="403"/>
      <c r="QHP20" s="403"/>
      <c r="QHQ20" s="403"/>
      <c r="QHR20" s="403"/>
      <c r="QHS20" s="403"/>
      <c r="QHT20" s="403"/>
      <c r="QHU20" s="403"/>
      <c r="QHV20" s="403"/>
      <c r="QHW20" s="403"/>
      <c r="QHX20" s="403"/>
      <c r="QHY20" s="403"/>
      <c r="QHZ20" s="403"/>
      <c r="QIA20" s="403"/>
      <c r="QIB20" s="403"/>
      <c r="QIC20" s="403"/>
      <c r="QID20" s="403"/>
      <c r="QIE20" s="403"/>
      <c r="QIF20" s="403"/>
      <c r="QIG20" s="403"/>
      <c r="QIH20" s="403"/>
      <c r="QII20" s="403"/>
      <c r="QIJ20" s="403"/>
      <c r="QIK20" s="403"/>
      <c r="QIL20" s="403"/>
      <c r="QIM20" s="403"/>
      <c r="QIN20" s="403"/>
      <c r="QIO20" s="403"/>
      <c r="QIP20" s="403"/>
      <c r="QIQ20" s="403"/>
      <c r="QIR20" s="403"/>
      <c r="QIS20" s="403" t="s">
        <v>99</v>
      </c>
      <c r="QIT20" s="403"/>
      <c r="QIU20" s="403"/>
      <c r="QIV20" s="403"/>
      <c r="QIW20" s="403"/>
      <c r="QIX20" s="403"/>
      <c r="QIY20" s="403"/>
      <c r="QIZ20" s="403"/>
      <c r="QJA20" s="403"/>
      <c r="QJB20" s="403"/>
      <c r="QJC20" s="403"/>
      <c r="QJD20" s="403"/>
      <c r="QJE20" s="403"/>
      <c r="QJF20" s="403"/>
      <c r="QJG20" s="403"/>
      <c r="QJH20" s="403"/>
      <c r="QJI20" s="403"/>
      <c r="QJJ20" s="403"/>
      <c r="QJK20" s="403"/>
      <c r="QJL20" s="403"/>
      <c r="QJM20" s="403"/>
      <c r="QJN20" s="403"/>
      <c r="QJO20" s="403"/>
      <c r="QJP20" s="403"/>
      <c r="QJQ20" s="403"/>
      <c r="QJR20" s="403"/>
      <c r="QJS20" s="403"/>
      <c r="QJT20" s="403"/>
      <c r="QJU20" s="403"/>
      <c r="QJV20" s="403"/>
      <c r="QJW20" s="403"/>
      <c r="QJX20" s="403"/>
      <c r="QJY20" s="403" t="s">
        <v>99</v>
      </c>
      <c r="QJZ20" s="403"/>
      <c r="QKA20" s="403"/>
      <c r="QKB20" s="403"/>
      <c r="QKC20" s="403"/>
      <c r="QKD20" s="403"/>
      <c r="QKE20" s="403"/>
      <c r="QKF20" s="403"/>
      <c r="QKG20" s="403"/>
      <c r="QKH20" s="403"/>
      <c r="QKI20" s="403"/>
      <c r="QKJ20" s="403"/>
      <c r="QKK20" s="403"/>
      <c r="QKL20" s="403"/>
      <c r="QKM20" s="403"/>
      <c r="QKN20" s="403"/>
      <c r="QKO20" s="403"/>
      <c r="QKP20" s="403"/>
      <c r="QKQ20" s="403"/>
      <c r="QKR20" s="403"/>
      <c r="QKS20" s="403"/>
      <c r="QKT20" s="403"/>
      <c r="QKU20" s="403"/>
      <c r="QKV20" s="403"/>
      <c r="QKW20" s="403"/>
      <c r="QKX20" s="403"/>
      <c r="QKY20" s="403"/>
      <c r="QKZ20" s="403"/>
      <c r="QLA20" s="403"/>
      <c r="QLB20" s="403"/>
      <c r="QLC20" s="403"/>
      <c r="QLD20" s="403"/>
      <c r="QLE20" s="403" t="s">
        <v>99</v>
      </c>
      <c r="QLF20" s="403"/>
      <c r="QLG20" s="403"/>
      <c r="QLH20" s="403"/>
      <c r="QLI20" s="403"/>
      <c r="QLJ20" s="403"/>
      <c r="QLK20" s="403"/>
      <c r="QLL20" s="403"/>
      <c r="QLM20" s="403"/>
      <c r="QLN20" s="403"/>
      <c r="QLO20" s="403"/>
      <c r="QLP20" s="403"/>
      <c r="QLQ20" s="403"/>
      <c r="QLR20" s="403"/>
      <c r="QLS20" s="403"/>
      <c r="QLT20" s="403"/>
      <c r="QLU20" s="403"/>
      <c r="QLV20" s="403"/>
      <c r="QLW20" s="403"/>
      <c r="QLX20" s="403"/>
      <c r="QLY20" s="403"/>
      <c r="QLZ20" s="403"/>
      <c r="QMA20" s="403"/>
      <c r="QMB20" s="403"/>
      <c r="QMC20" s="403"/>
      <c r="QMD20" s="403"/>
      <c r="QME20" s="403"/>
      <c r="QMF20" s="403"/>
      <c r="QMG20" s="403"/>
      <c r="QMH20" s="403"/>
      <c r="QMI20" s="403"/>
      <c r="QMJ20" s="403"/>
      <c r="QMK20" s="403" t="s">
        <v>99</v>
      </c>
      <c r="QML20" s="403"/>
      <c r="QMM20" s="403"/>
      <c r="QMN20" s="403"/>
      <c r="QMO20" s="403"/>
      <c r="QMP20" s="403"/>
      <c r="QMQ20" s="403"/>
      <c r="QMR20" s="403"/>
      <c r="QMS20" s="403"/>
      <c r="QMT20" s="403"/>
      <c r="QMU20" s="403"/>
      <c r="QMV20" s="403"/>
      <c r="QMW20" s="403"/>
      <c r="QMX20" s="403"/>
      <c r="QMY20" s="403"/>
      <c r="QMZ20" s="403"/>
      <c r="QNA20" s="403"/>
      <c r="QNB20" s="403"/>
      <c r="QNC20" s="403"/>
      <c r="QND20" s="403"/>
      <c r="QNE20" s="403"/>
      <c r="QNF20" s="403"/>
      <c r="QNG20" s="403"/>
      <c r="QNH20" s="403"/>
      <c r="QNI20" s="403"/>
      <c r="QNJ20" s="403"/>
      <c r="QNK20" s="403"/>
      <c r="QNL20" s="403"/>
      <c r="QNM20" s="403"/>
      <c r="QNN20" s="403"/>
      <c r="QNO20" s="403"/>
      <c r="QNP20" s="403"/>
      <c r="QNQ20" s="403" t="s">
        <v>99</v>
      </c>
      <c r="QNR20" s="403"/>
      <c r="QNS20" s="403"/>
      <c r="QNT20" s="403"/>
      <c r="QNU20" s="403"/>
      <c r="QNV20" s="403"/>
      <c r="QNW20" s="403"/>
      <c r="QNX20" s="403"/>
      <c r="QNY20" s="403"/>
      <c r="QNZ20" s="403"/>
      <c r="QOA20" s="403"/>
      <c r="QOB20" s="403"/>
      <c r="QOC20" s="403"/>
      <c r="QOD20" s="403"/>
      <c r="QOE20" s="403"/>
      <c r="QOF20" s="403"/>
      <c r="QOG20" s="403"/>
      <c r="QOH20" s="403"/>
      <c r="QOI20" s="403"/>
      <c r="QOJ20" s="403"/>
      <c r="QOK20" s="403"/>
      <c r="QOL20" s="403"/>
      <c r="QOM20" s="403"/>
      <c r="QON20" s="403"/>
      <c r="QOO20" s="403"/>
      <c r="QOP20" s="403"/>
      <c r="QOQ20" s="403"/>
      <c r="QOR20" s="403"/>
      <c r="QOS20" s="403"/>
      <c r="QOT20" s="403"/>
      <c r="QOU20" s="403"/>
      <c r="QOV20" s="403"/>
      <c r="QOW20" s="403" t="s">
        <v>99</v>
      </c>
      <c r="QOX20" s="403"/>
      <c r="QOY20" s="403"/>
      <c r="QOZ20" s="403"/>
      <c r="QPA20" s="403"/>
      <c r="QPB20" s="403"/>
      <c r="QPC20" s="403"/>
      <c r="QPD20" s="403"/>
      <c r="QPE20" s="403"/>
      <c r="QPF20" s="403"/>
      <c r="QPG20" s="403"/>
      <c r="QPH20" s="403"/>
      <c r="QPI20" s="403"/>
      <c r="QPJ20" s="403"/>
      <c r="QPK20" s="403"/>
      <c r="QPL20" s="403"/>
      <c r="QPM20" s="403"/>
      <c r="QPN20" s="403"/>
      <c r="QPO20" s="403"/>
      <c r="QPP20" s="403"/>
      <c r="QPQ20" s="403"/>
      <c r="QPR20" s="403"/>
      <c r="QPS20" s="403"/>
      <c r="QPT20" s="403"/>
      <c r="QPU20" s="403"/>
      <c r="QPV20" s="403"/>
      <c r="QPW20" s="403"/>
      <c r="QPX20" s="403"/>
      <c r="QPY20" s="403"/>
      <c r="QPZ20" s="403"/>
      <c r="QQA20" s="403"/>
      <c r="QQB20" s="403"/>
      <c r="QQC20" s="403" t="s">
        <v>99</v>
      </c>
      <c r="QQD20" s="403"/>
      <c r="QQE20" s="403"/>
      <c r="QQF20" s="403"/>
      <c r="QQG20" s="403"/>
      <c r="QQH20" s="403"/>
      <c r="QQI20" s="403"/>
      <c r="QQJ20" s="403"/>
      <c r="QQK20" s="403"/>
      <c r="QQL20" s="403"/>
      <c r="QQM20" s="403"/>
      <c r="QQN20" s="403"/>
      <c r="QQO20" s="403"/>
      <c r="QQP20" s="403"/>
      <c r="QQQ20" s="403"/>
      <c r="QQR20" s="403"/>
      <c r="QQS20" s="403"/>
      <c r="QQT20" s="403"/>
      <c r="QQU20" s="403"/>
      <c r="QQV20" s="403"/>
      <c r="QQW20" s="403"/>
      <c r="QQX20" s="403"/>
      <c r="QQY20" s="403"/>
      <c r="QQZ20" s="403"/>
      <c r="QRA20" s="403"/>
      <c r="QRB20" s="403"/>
      <c r="QRC20" s="403"/>
      <c r="QRD20" s="403"/>
      <c r="QRE20" s="403"/>
      <c r="QRF20" s="403"/>
      <c r="QRG20" s="403"/>
      <c r="QRH20" s="403"/>
      <c r="QRI20" s="403" t="s">
        <v>99</v>
      </c>
      <c r="QRJ20" s="403"/>
      <c r="QRK20" s="403"/>
      <c r="QRL20" s="403"/>
      <c r="QRM20" s="403"/>
      <c r="QRN20" s="403"/>
      <c r="QRO20" s="403"/>
      <c r="QRP20" s="403"/>
      <c r="QRQ20" s="403"/>
      <c r="QRR20" s="403"/>
      <c r="QRS20" s="403"/>
      <c r="QRT20" s="403"/>
      <c r="QRU20" s="403"/>
      <c r="QRV20" s="403"/>
      <c r="QRW20" s="403"/>
      <c r="QRX20" s="403"/>
      <c r="QRY20" s="403"/>
      <c r="QRZ20" s="403"/>
      <c r="QSA20" s="403"/>
      <c r="QSB20" s="403"/>
      <c r="QSC20" s="403"/>
      <c r="QSD20" s="403"/>
      <c r="QSE20" s="403"/>
      <c r="QSF20" s="403"/>
      <c r="QSG20" s="403"/>
      <c r="QSH20" s="403"/>
      <c r="QSI20" s="403"/>
      <c r="QSJ20" s="403"/>
      <c r="QSK20" s="403"/>
      <c r="QSL20" s="403"/>
      <c r="QSM20" s="403"/>
      <c r="QSN20" s="403"/>
      <c r="QSO20" s="403" t="s">
        <v>99</v>
      </c>
      <c r="QSP20" s="403"/>
      <c r="QSQ20" s="403"/>
      <c r="QSR20" s="403"/>
      <c r="QSS20" s="403"/>
      <c r="QST20" s="403"/>
      <c r="QSU20" s="403"/>
      <c r="QSV20" s="403"/>
      <c r="QSW20" s="403"/>
      <c r="QSX20" s="403"/>
      <c r="QSY20" s="403"/>
      <c r="QSZ20" s="403"/>
      <c r="QTA20" s="403"/>
      <c r="QTB20" s="403"/>
      <c r="QTC20" s="403"/>
      <c r="QTD20" s="403"/>
      <c r="QTE20" s="403"/>
      <c r="QTF20" s="403"/>
      <c r="QTG20" s="403"/>
      <c r="QTH20" s="403"/>
      <c r="QTI20" s="403"/>
      <c r="QTJ20" s="403"/>
      <c r="QTK20" s="403"/>
      <c r="QTL20" s="403"/>
      <c r="QTM20" s="403"/>
      <c r="QTN20" s="403"/>
      <c r="QTO20" s="403"/>
      <c r="QTP20" s="403"/>
      <c r="QTQ20" s="403"/>
      <c r="QTR20" s="403"/>
      <c r="QTS20" s="403"/>
      <c r="QTT20" s="403"/>
      <c r="QTU20" s="403" t="s">
        <v>99</v>
      </c>
      <c r="QTV20" s="403"/>
      <c r="QTW20" s="403"/>
      <c r="QTX20" s="403"/>
      <c r="QTY20" s="403"/>
      <c r="QTZ20" s="403"/>
      <c r="QUA20" s="403"/>
      <c r="QUB20" s="403"/>
      <c r="QUC20" s="403"/>
      <c r="QUD20" s="403"/>
      <c r="QUE20" s="403"/>
      <c r="QUF20" s="403"/>
      <c r="QUG20" s="403"/>
      <c r="QUH20" s="403"/>
      <c r="QUI20" s="403"/>
      <c r="QUJ20" s="403"/>
      <c r="QUK20" s="403"/>
      <c r="QUL20" s="403"/>
      <c r="QUM20" s="403"/>
      <c r="QUN20" s="403"/>
      <c r="QUO20" s="403"/>
      <c r="QUP20" s="403"/>
      <c r="QUQ20" s="403"/>
      <c r="QUR20" s="403"/>
      <c r="QUS20" s="403"/>
      <c r="QUT20" s="403"/>
      <c r="QUU20" s="403"/>
      <c r="QUV20" s="403"/>
      <c r="QUW20" s="403"/>
      <c r="QUX20" s="403"/>
      <c r="QUY20" s="403"/>
      <c r="QUZ20" s="403"/>
      <c r="QVA20" s="403" t="s">
        <v>99</v>
      </c>
      <c r="QVB20" s="403"/>
      <c r="QVC20" s="403"/>
      <c r="QVD20" s="403"/>
      <c r="QVE20" s="403"/>
      <c r="QVF20" s="403"/>
      <c r="QVG20" s="403"/>
      <c r="QVH20" s="403"/>
      <c r="QVI20" s="403"/>
      <c r="QVJ20" s="403"/>
      <c r="QVK20" s="403"/>
      <c r="QVL20" s="403"/>
      <c r="QVM20" s="403"/>
      <c r="QVN20" s="403"/>
      <c r="QVO20" s="403"/>
      <c r="QVP20" s="403"/>
      <c r="QVQ20" s="403"/>
      <c r="QVR20" s="403"/>
      <c r="QVS20" s="403"/>
      <c r="QVT20" s="403"/>
      <c r="QVU20" s="403"/>
      <c r="QVV20" s="403"/>
      <c r="QVW20" s="403"/>
      <c r="QVX20" s="403"/>
      <c r="QVY20" s="403"/>
      <c r="QVZ20" s="403"/>
      <c r="QWA20" s="403"/>
      <c r="QWB20" s="403"/>
      <c r="QWC20" s="403"/>
      <c r="QWD20" s="403"/>
      <c r="QWE20" s="403"/>
      <c r="QWF20" s="403"/>
      <c r="QWG20" s="403" t="s">
        <v>99</v>
      </c>
      <c r="QWH20" s="403"/>
      <c r="QWI20" s="403"/>
      <c r="QWJ20" s="403"/>
      <c r="QWK20" s="403"/>
      <c r="QWL20" s="403"/>
      <c r="QWM20" s="403"/>
      <c r="QWN20" s="403"/>
      <c r="QWO20" s="403"/>
      <c r="QWP20" s="403"/>
      <c r="QWQ20" s="403"/>
      <c r="QWR20" s="403"/>
      <c r="QWS20" s="403"/>
      <c r="QWT20" s="403"/>
      <c r="QWU20" s="403"/>
      <c r="QWV20" s="403"/>
      <c r="QWW20" s="403"/>
      <c r="QWX20" s="403"/>
      <c r="QWY20" s="403"/>
      <c r="QWZ20" s="403"/>
      <c r="QXA20" s="403"/>
      <c r="QXB20" s="403"/>
      <c r="QXC20" s="403"/>
      <c r="QXD20" s="403"/>
      <c r="QXE20" s="403"/>
      <c r="QXF20" s="403"/>
      <c r="QXG20" s="403"/>
      <c r="QXH20" s="403"/>
      <c r="QXI20" s="403"/>
      <c r="QXJ20" s="403"/>
      <c r="QXK20" s="403"/>
      <c r="QXL20" s="403"/>
      <c r="QXM20" s="403" t="s">
        <v>99</v>
      </c>
      <c r="QXN20" s="403"/>
      <c r="QXO20" s="403"/>
      <c r="QXP20" s="403"/>
      <c r="QXQ20" s="403"/>
      <c r="QXR20" s="403"/>
      <c r="QXS20" s="403"/>
      <c r="QXT20" s="403"/>
      <c r="QXU20" s="403"/>
      <c r="QXV20" s="403"/>
      <c r="QXW20" s="403"/>
      <c r="QXX20" s="403"/>
      <c r="QXY20" s="403"/>
      <c r="QXZ20" s="403"/>
      <c r="QYA20" s="403"/>
      <c r="QYB20" s="403"/>
      <c r="QYC20" s="403"/>
      <c r="QYD20" s="403"/>
      <c r="QYE20" s="403"/>
      <c r="QYF20" s="403"/>
      <c r="QYG20" s="403"/>
      <c r="QYH20" s="403"/>
      <c r="QYI20" s="403"/>
      <c r="QYJ20" s="403"/>
      <c r="QYK20" s="403"/>
      <c r="QYL20" s="403"/>
      <c r="QYM20" s="403"/>
      <c r="QYN20" s="403"/>
      <c r="QYO20" s="403"/>
      <c r="QYP20" s="403"/>
      <c r="QYQ20" s="403"/>
      <c r="QYR20" s="403"/>
      <c r="QYS20" s="403" t="s">
        <v>99</v>
      </c>
      <c r="QYT20" s="403"/>
      <c r="QYU20" s="403"/>
      <c r="QYV20" s="403"/>
      <c r="QYW20" s="403"/>
      <c r="QYX20" s="403"/>
      <c r="QYY20" s="403"/>
      <c r="QYZ20" s="403"/>
      <c r="QZA20" s="403"/>
      <c r="QZB20" s="403"/>
      <c r="QZC20" s="403"/>
      <c r="QZD20" s="403"/>
      <c r="QZE20" s="403"/>
      <c r="QZF20" s="403"/>
      <c r="QZG20" s="403"/>
      <c r="QZH20" s="403"/>
      <c r="QZI20" s="403"/>
      <c r="QZJ20" s="403"/>
      <c r="QZK20" s="403"/>
      <c r="QZL20" s="403"/>
      <c r="QZM20" s="403"/>
      <c r="QZN20" s="403"/>
      <c r="QZO20" s="403"/>
      <c r="QZP20" s="403"/>
      <c r="QZQ20" s="403"/>
      <c r="QZR20" s="403"/>
      <c r="QZS20" s="403"/>
      <c r="QZT20" s="403"/>
      <c r="QZU20" s="403"/>
      <c r="QZV20" s="403"/>
      <c r="QZW20" s="403"/>
      <c r="QZX20" s="403"/>
      <c r="QZY20" s="403" t="s">
        <v>99</v>
      </c>
      <c r="QZZ20" s="403"/>
      <c r="RAA20" s="403"/>
      <c r="RAB20" s="403"/>
      <c r="RAC20" s="403"/>
      <c r="RAD20" s="403"/>
      <c r="RAE20" s="403"/>
      <c r="RAF20" s="403"/>
      <c r="RAG20" s="403"/>
      <c r="RAH20" s="403"/>
      <c r="RAI20" s="403"/>
      <c r="RAJ20" s="403"/>
      <c r="RAK20" s="403"/>
      <c r="RAL20" s="403"/>
      <c r="RAM20" s="403"/>
      <c r="RAN20" s="403"/>
      <c r="RAO20" s="403"/>
      <c r="RAP20" s="403"/>
      <c r="RAQ20" s="403"/>
      <c r="RAR20" s="403"/>
      <c r="RAS20" s="403"/>
      <c r="RAT20" s="403"/>
      <c r="RAU20" s="403"/>
      <c r="RAV20" s="403"/>
      <c r="RAW20" s="403"/>
      <c r="RAX20" s="403"/>
      <c r="RAY20" s="403"/>
      <c r="RAZ20" s="403"/>
      <c r="RBA20" s="403"/>
      <c r="RBB20" s="403"/>
      <c r="RBC20" s="403"/>
      <c r="RBD20" s="403"/>
      <c r="RBE20" s="403" t="s">
        <v>99</v>
      </c>
      <c r="RBF20" s="403"/>
      <c r="RBG20" s="403"/>
      <c r="RBH20" s="403"/>
      <c r="RBI20" s="403"/>
      <c r="RBJ20" s="403"/>
      <c r="RBK20" s="403"/>
      <c r="RBL20" s="403"/>
      <c r="RBM20" s="403"/>
      <c r="RBN20" s="403"/>
      <c r="RBO20" s="403"/>
      <c r="RBP20" s="403"/>
      <c r="RBQ20" s="403"/>
      <c r="RBR20" s="403"/>
      <c r="RBS20" s="403"/>
      <c r="RBT20" s="403"/>
      <c r="RBU20" s="403"/>
      <c r="RBV20" s="403"/>
      <c r="RBW20" s="403"/>
      <c r="RBX20" s="403"/>
      <c r="RBY20" s="403"/>
      <c r="RBZ20" s="403"/>
      <c r="RCA20" s="403"/>
      <c r="RCB20" s="403"/>
      <c r="RCC20" s="403"/>
      <c r="RCD20" s="403"/>
      <c r="RCE20" s="403"/>
      <c r="RCF20" s="403"/>
      <c r="RCG20" s="403"/>
      <c r="RCH20" s="403"/>
      <c r="RCI20" s="403"/>
      <c r="RCJ20" s="403"/>
      <c r="RCK20" s="403" t="s">
        <v>99</v>
      </c>
      <c r="RCL20" s="403"/>
      <c r="RCM20" s="403"/>
      <c r="RCN20" s="403"/>
      <c r="RCO20" s="403"/>
      <c r="RCP20" s="403"/>
      <c r="RCQ20" s="403"/>
      <c r="RCR20" s="403"/>
      <c r="RCS20" s="403"/>
      <c r="RCT20" s="403"/>
      <c r="RCU20" s="403"/>
      <c r="RCV20" s="403"/>
      <c r="RCW20" s="403"/>
      <c r="RCX20" s="403"/>
      <c r="RCY20" s="403"/>
      <c r="RCZ20" s="403"/>
      <c r="RDA20" s="403"/>
      <c r="RDB20" s="403"/>
      <c r="RDC20" s="403"/>
      <c r="RDD20" s="403"/>
      <c r="RDE20" s="403"/>
      <c r="RDF20" s="403"/>
      <c r="RDG20" s="403"/>
      <c r="RDH20" s="403"/>
      <c r="RDI20" s="403"/>
      <c r="RDJ20" s="403"/>
      <c r="RDK20" s="403"/>
      <c r="RDL20" s="403"/>
      <c r="RDM20" s="403"/>
      <c r="RDN20" s="403"/>
      <c r="RDO20" s="403"/>
      <c r="RDP20" s="403"/>
      <c r="RDQ20" s="403" t="s">
        <v>99</v>
      </c>
      <c r="RDR20" s="403"/>
      <c r="RDS20" s="403"/>
      <c r="RDT20" s="403"/>
      <c r="RDU20" s="403"/>
      <c r="RDV20" s="403"/>
      <c r="RDW20" s="403"/>
      <c r="RDX20" s="403"/>
      <c r="RDY20" s="403"/>
      <c r="RDZ20" s="403"/>
      <c r="REA20" s="403"/>
      <c r="REB20" s="403"/>
      <c r="REC20" s="403"/>
      <c r="RED20" s="403"/>
      <c r="REE20" s="403"/>
      <c r="REF20" s="403"/>
      <c r="REG20" s="403"/>
      <c r="REH20" s="403"/>
      <c r="REI20" s="403"/>
      <c r="REJ20" s="403"/>
      <c r="REK20" s="403"/>
      <c r="REL20" s="403"/>
      <c r="REM20" s="403"/>
      <c r="REN20" s="403"/>
      <c r="REO20" s="403"/>
      <c r="REP20" s="403"/>
      <c r="REQ20" s="403"/>
      <c r="RER20" s="403"/>
      <c r="RES20" s="403"/>
      <c r="RET20" s="403"/>
      <c r="REU20" s="403"/>
      <c r="REV20" s="403"/>
      <c r="REW20" s="403" t="s">
        <v>99</v>
      </c>
      <c r="REX20" s="403"/>
      <c r="REY20" s="403"/>
      <c r="REZ20" s="403"/>
      <c r="RFA20" s="403"/>
      <c r="RFB20" s="403"/>
      <c r="RFC20" s="403"/>
      <c r="RFD20" s="403"/>
      <c r="RFE20" s="403"/>
      <c r="RFF20" s="403"/>
      <c r="RFG20" s="403"/>
      <c r="RFH20" s="403"/>
      <c r="RFI20" s="403"/>
      <c r="RFJ20" s="403"/>
      <c r="RFK20" s="403"/>
      <c r="RFL20" s="403"/>
      <c r="RFM20" s="403"/>
      <c r="RFN20" s="403"/>
      <c r="RFO20" s="403"/>
      <c r="RFP20" s="403"/>
      <c r="RFQ20" s="403"/>
      <c r="RFR20" s="403"/>
      <c r="RFS20" s="403"/>
      <c r="RFT20" s="403"/>
      <c r="RFU20" s="403"/>
      <c r="RFV20" s="403"/>
      <c r="RFW20" s="403"/>
      <c r="RFX20" s="403"/>
      <c r="RFY20" s="403"/>
      <c r="RFZ20" s="403"/>
      <c r="RGA20" s="403"/>
      <c r="RGB20" s="403"/>
      <c r="RGC20" s="403" t="s">
        <v>99</v>
      </c>
      <c r="RGD20" s="403"/>
      <c r="RGE20" s="403"/>
      <c r="RGF20" s="403"/>
      <c r="RGG20" s="403"/>
      <c r="RGH20" s="403"/>
      <c r="RGI20" s="403"/>
      <c r="RGJ20" s="403"/>
      <c r="RGK20" s="403"/>
      <c r="RGL20" s="403"/>
      <c r="RGM20" s="403"/>
      <c r="RGN20" s="403"/>
      <c r="RGO20" s="403"/>
      <c r="RGP20" s="403"/>
      <c r="RGQ20" s="403"/>
      <c r="RGR20" s="403"/>
      <c r="RGS20" s="403"/>
      <c r="RGT20" s="403"/>
      <c r="RGU20" s="403"/>
      <c r="RGV20" s="403"/>
      <c r="RGW20" s="403"/>
      <c r="RGX20" s="403"/>
      <c r="RGY20" s="403"/>
      <c r="RGZ20" s="403"/>
      <c r="RHA20" s="403"/>
      <c r="RHB20" s="403"/>
      <c r="RHC20" s="403"/>
      <c r="RHD20" s="403"/>
      <c r="RHE20" s="403"/>
      <c r="RHF20" s="403"/>
      <c r="RHG20" s="403"/>
      <c r="RHH20" s="403"/>
      <c r="RHI20" s="403" t="s">
        <v>99</v>
      </c>
      <c r="RHJ20" s="403"/>
      <c r="RHK20" s="403"/>
      <c r="RHL20" s="403"/>
      <c r="RHM20" s="403"/>
      <c r="RHN20" s="403"/>
      <c r="RHO20" s="403"/>
      <c r="RHP20" s="403"/>
      <c r="RHQ20" s="403"/>
      <c r="RHR20" s="403"/>
      <c r="RHS20" s="403"/>
      <c r="RHT20" s="403"/>
      <c r="RHU20" s="403"/>
      <c r="RHV20" s="403"/>
      <c r="RHW20" s="403"/>
      <c r="RHX20" s="403"/>
      <c r="RHY20" s="403"/>
      <c r="RHZ20" s="403"/>
      <c r="RIA20" s="403"/>
      <c r="RIB20" s="403"/>
      <c r="RIC20" s="403"/>
      <c r="RID20" s="403"/>
      <c r="RIE20" s="403"/>
      <c r="RIF20" s="403"/>
      <c r="RIG20" s="403"/>
      <c r="RIH20" s="403"/>
      <c r="RII20" s="403"/>
      <c r="RIJ20" s="403"/>
      <c r="RIK20" s="403"/>
      <c r="RIL20" s="403"/>
      <c r="RIM20" s="403"/>
      <c r="RIN20" s="403"/>
      <c r="RIO20" s="403" t="s">
        <v>99</v>
      </c>
      <c r="RIP20" s="403"/>
      <c r="RIQ20" s="403"/>
      <c r="RIR20" s="403"/>
      <c r="RIS20" s="403"/>
      <c r="RIT20" s="403"/>
      <c r="RIU20" s="403"/>
      <c r="RIV20" s="403"/>
      <c r="RIW20" s="403"/>
      <c r="RIX20" s="403"/>
      <c r="RIY20" s="403"/>
      <c r="RIZ20" s="403"/>
      <c r="RJA20" s="403"/>
      <c r="RJB20" s="403"/>
      <c r="RJC20" s="403"/>
      <c r="RJD20" s="403"/>
      <c r="RJE20" s="403"/>
      <c r="RJF20" s="403"/>
      <c r="RJG20" s="403"/>
      <c r="RJH20" s="403"/>
      <c r="RJI20" s="403"/>
      <c r="RJJ20" s="403"/>
      <c r="RJK20" s="403"/>
      <c r="RJL20" s="403"/>
      <c r="RJM20" s="403"/>
      <c r="RJN20" s="403"/>
      <c r="RJO20" s="403"/>
      <c r="RJP20" s="403"/>
      <c r="RJQ20" s="403"/>
      <c r="RJR20" s="403"/>
      <c r="RJS20" s="403"/>
      <c r="RJT20" s="403"/>
      <c r="RJU20" s="403" t="s">
        <v>99</v>
      </c>
      <c r="RJV20" s="403"/>
      <c r="RJW20" s="403"/>
      <c r="RJX20" s="403"/>
      <c r="RJY20" s="403"/>
      <c r="RJZ20" s="403"/>
      <c r="RKA20" s="403"/>
      <c r="RKB20" s="403"/>
      <c r="RKC20" s="403"/>
      <c r="RKD20" s="403"/>
      <c r="RKE20" s="403"/>
      <c r="RKF20" s="403"/>
      <c r="RKG20" s="403"/>
      <c r="RKH20" s="403"/>
      <c r="RKI20" s="403"/>
      <c r="RKJ20" s="403"/>
      <c r="RKK20" s="403"/>
      <c r="RKL20" s="403"/>
      <c r="RKM20" s="403"/>
      <c r="RKN20" s="403"/>
      <c r="RKO20" s="403"/>
      <c r="RKP20" s="403"/>
      <c r="RKQ20" s="403"/>
      <c r="RKR20" s="403"/>
      <c r="RKS20" s="403"/>
      <c r="RKT20" s="403"/>
      <c r="RKU20" s="403"/>
      <c r="RKV20" s="403"/>
      <c r="RKW20" s="403"/>
      <c r="RKX20" s="403"/>
      <c r="RKY20" s="403"/>
      <c r="RKZ20" s="403"/>
      <c r="RLA20" s="403" t="s">
        <v>99</v>
      </c>
      <c r="RLB20" s="403"/>
      <c r="RLC20" s="403"/>
      <c r="RLD20" s="403"/>
      <c r="RLE20" s="403"/>
      <c r="RLF20" s="403"/>
      <c r="RLG20" s="403"/>
      <c r="RLH20" s="403"/>
      <c r="RLI20" s="403"/>
      <c r="RLJ20" s="403"/>
      <c r="RLK20" s="403"/>
      <c r="RLL20" s="403"/>
      <c r="RLM20" s="403"/>
      <c r="RLN20" s="403"/>
      <c r="RLO20" s="403"/>
      <c r="RLP20" s="403"/>
      <c r="RLQ20" s="403"/>
      <c r="RLR20" s="403"/>
      <c r="RLS20" s="403"/>
      <c r="RLT20" s="403"/>
      <c r="RLU20" s="403"/>
      <c r="RLV20" s="403"/>
      <c r="RLW20" s="403"/>
      <c r="RLX20" s="403"/>
      <c r="RLY20" s="403"/>
      <c r="RLZ20" s="403"/>
      <c r="RMA20" s="403"/>
      <c r="RMB20" s="403"/>
      <c r="RMC20" s="403"/>
      <c r="RMD20" s="403"/>
      <c r="RME20" s="403"/>
      <c r="RMF20" s="403"/>
      <c r="RMG20" s="403" t="s">
        <v>99</v>
      </c>
      <c r="RMH20" s="403"/>
      <c r="RMI20" s="403"/>
      <c r="RMJ20" s="403"/>
      <c r="RMK20" s="403"/>
      <c r="RML20" s="403"/>
      <c r="RMM20" s="403"/>
      <c r="RMN20" s="403"/>
      <c r="RMO20" s="403"/>
      <c r="RMP20" s="403"/>
      <c r="RMQ20" s="403"/>
      <c r="RMR20" s="403"/>
      <c r="RMS20" s="403"/>
      <c r="RMT20" s="403"/>
      <c r="RMU20" s="403"/>
      <c r="RMV20" s="403"/>
      <c r="RMW20" s="403"/>
      <c r="RMX20" s="403"/>
      <c r="RMY20" s="403"/>
      <c r="RMZ20" s="403"/>
      <c r="RNA20" s="403"/>
      <c r="RNB20" s="403"/>
      <c r="RNC20" s="403"/>
      <c r="RND20" s="403"/>
      <c r="RNE20" s="403"/>
      <c r="RNF20" s="403"/>
      <c r="RNG20" s="403"/>
      <c r="RNH20" s="403"/>
      <c r="RNI20" s="403"/>
      <c r="RNJ20" s="403"/>
      <c r="RNK20" s="403"/>
      <c r="RNL20" s="403"/>
      <c r="RNM20" s="403" t="s">
        <v>99</v>
      </c>
      <c r="RNN20" s="403"/>
      <c r="RNO20" s="403"/>
      <c r="RNP20" s="403"/>
      <c r="RNQ20" s="403"/>
      <c r="RNR20" s="403"/>
      <c r="RNS20" s="403"/>
      <c r="RNT20" s="403"/>
      <c r="RNU20" s="403"/>
      <c r="RNV20" s="403"/>
      <c r="RNW20" s="403"/>
      <c r="RNX20" s="403"/>
      <c r="RNY20" s="403"/>
      <c r="RNZ20" s="403"/>
      <c r="ROA20" s="403"/>
      <c r="ROB20" s="403"/>
      <c r="ROC20" s="403"/>
      <c r="ROD20" s="403"/>
      <c r="ROE20" s="403"/>
      <c r="ROF20" s="403"/>
      <c r="ROG20" s="403"/>
      <c r="ROH20" s="403"/>
      <c r="ROI20" s="403"/>
      <c r="ROJ20" s="403"/>
      <c r="ROK20" s="403"/>
      <c r="ROL20" s="403"/>
      <c r="ROM20" s="403"/>
      <c r="RON20" s="403"/>
      <c r="ROO20" s="403"/>
      <c r="ROP20" s="403"/>
      <c r="ROQ20" s="403"/>
      <c r="ROR20" s="403"/>
      <c r="ROS20" s="403" t="s">
        <v>99</v>
      </c>
      <c r="ROT20" s="403"/>
      <c r="ROU20" s="403"/>
      <c r="ROV20" s="403"/>
      <c r="ROW20" s="403"/>
      <c r="ROX20" s="403"/>
      <c r="ROY20" s="403"/>
      <c r="ROZ20" s="403"/>
      <c r="RPA20" s="403"/>
      <c r="RPB20" s="403"/>
      <c r="RPC20" s="403"/>
      <c r="RPD20" s="403"/>
      <c r="RPE20" s="403"/>
      <c r="RPF20" s="403"/>
      <c r="RPG20" s="403"/>
      <c r="RPH20" s="403"/>
      <c r="RPI20" s="403"/>
      <c r="RPJ20" s="403"/>
      <c r="RPK20" s="403"/>
      <c r="RPL20" s="403"/>
      <c r="RPM20" s="403"/>
      <c r="RPN20" s="403"/>
      <c r="RPO20" s="403"/>
      <c r="RPP20" s="403"/>
      <c r="RPQ20" s="403"/>
      <c r="RPR20" s="403"/>
      <c r="RPS20" s="403"/>
      <c r="RPT20" s="403"/>
      <c r="RPU20" s="403"/>
      <c r="RPV20" s="403"/>
      <c r="RPW20" s="403"/>
      <c r="RPX20" s="403"/>
      <c r="RPY20" s="403" t="s">
        <v>99</v>
      </c>
      <c r="RPZ20" s="403"/>
      <c r="RQA20" s="403"/>
      <c r="RQB20" s="403"/>
      <c r="RQC20" s="403"/>
      <c r="RQD20" s="403"/>
      <c r="RQE20" s="403"/>
      <c r="RQF20" s="403"/>
      <c r="RQG20" s="403"/>
      <c r="RQH20" s="403"/>
      <c r="RQI20" s="403"/>
      <c r="RQJ20" s="403"/>
      <c r="RQK20" s="403"/>
      <c r="RQL20" s="403"/>
      <c r="RQM20" s="403"/>
      <c r="RQN20" s="403"/>
      <c r="RQO20" s="403"/>
      <c r="RQP20" s="403"/>
      <c r="RQQ20" s="403"/>
      <c r="RQR20" s="403"/>
      <c r="RQS20" s="403"/>
      <c r="RQT20" s="403"/>
      <c r="RQU20" s="403"/>
      <c r="RQV20" s="403"/>
      <c r="RQW20" s="403"/>
      <c r="RQX20" s="403"/>
      <c r="RQY20" s="403"/>
      <c r="RQZ20" s="403"/>
      <c r="RRA20" s="403"/>
      <c r="RRB20" s="403"/>
      <c r="RRC20" s="403"/>
      <c r="RRD20" s="403"/>
      <c r="RRE20" s="403" t="s">
        <v>99</v>
      </c>
      <c r="RRF20" s="403"/>
      <c r="RRG20" s="403"/>
      <c r="RRH20" s="403"/>
      <c r="RRI20" s="403"/>
      <c r="RRJ20" s="403"/>
      <c r="RRK20" s="403"/>
      <c r="RRL20" s="403"/>
      <c r="RRM20" s="403"/>
      <c r="RRN20" s="403"/>
      <c r="RRO20" s="403"/>
      <c r="RRP20" s="403"/>
      <c r="RRQ20" s="403"/>
      <c r="RRR20" s="403"/>
      <c r="RRS20" s="403"/>
      <c r="RRT20" s="403"/>
      <c r="RRU20" s="403"/>
      <c r="RRV20" s="403"/>
      <c r="RRW20" s="403"/>
      <c r="RRX20" s="403"/>
      <c r="RRY20" s="403"/>
      <c r="RRZ20" s="403"/>
      <c r="RSA20" s="403"/>
      <c r="RSB20" s="403"/>
      <c r="RSC20" s="403"/>
      <c r="RSD20" s="403"/>
      <c r="RSE20" s="403"/>
      <c r="RSF20" s="403"/>
      <c r="RSG20" s="403"/>
      <c r="RSH20" s="403"/>
      <c r="RSI20" s="403"/>
      <c r="RSJ20" s="403"/>
      <c r="RSK20" s="403" t="s">
        <v>99</v>
      </c>
      <c r="RSL20" s="403"/>
      <c r="RSM20" s="403"/>
      <c r="RSN20" s="403"/>
      <c r="RSO20" s="403"/>
      <c r="RSP20" s="403"/>
      <c r="RSQ20" s="403"/>
      <c r="RSR20" s="403"/>
      <c r="RSS20" s="403"/>
      <c r="RST20" s="403"/>
      <c r="RSU20" s="403"/>
      <c r="RSV20" s="403"/>
      <c r="RSW20" s="403"/>
      <c r="RSX20" s="403"/>
      <c r="RSY20" s="403"/>
      <c r="RSZ20" s="403"/>
      <c r="RTA20" s="403"/>
      <c r="RTB20" s="403"/>
      <c r="RTC20" s="403"/>
      <c r="RTD20" s="403"/>
      <c r="RTE20" s="403"/>
      <c r="RTF20" s="403"/>
      <c r="RTG20" s="403"/>
      <c r="RTH20" s="403"/>
      <c r="RTI20" s="403"/>
      <c r="RTJ20" s="403"/>
      <c r="RTK20" s="403"/>
      <c r="RTL20" s="403"/>
      <c r="RTM20" s="403"/>
      <c r="RTN20" s="403"/>
      <c r="RTO20" s="403"/>
      <c r="RTP20" s="403"/>
      <c r="RTQ20" s="403" t="s">
        <v>99</v>
      </c>
      <c r="RTR20" s="403"/>
      <c r="RTS20" s="403"/>
      <c r="RTT20" s="403"/>
      <c r="RTU20" s="403"/>
      <c r="RTV20" s="403"/>
      <c r="RTW20" s="403"/>
      <c r="RTX20" s="403"/>
      <c r="RTY20" s="403"/>
      <c r="RTZ20" s="403"/>
      <c r="RUA20" s="403"/>
      <c r="RUB20" s="403"/>
      <c r="RUC20" s="403"/>
      <c r="RUD20" s="403"/>
      <c r="RUE20" s="403"/>
      <c r="RUF20" s="403"/>
      <c r="RUG20" s="403"/>
      <c r="RUH20" s="403"/>
      <c r="RUI20" s="403"/>
      <c r="RUJ20" s="403"/>
      <c r="RUK20" s="403"/>
      <c r="RUL20" s="403"/>
      <c r="RUM20" s="403"/>
      <c r="RUN20" s="403"/>
      <c r="RUO20" s="403"/>
      <c r="RUP20" s="403"/>
      <c r="RUQ20" s="403"/>
      <c r="RUR20" s="403"/>
      <c r="RUS20" s="403"/>
      <c r="RUT20" s="403"/>
      <c r="RUU20" s="403"/>
      <c r="RUV20" s="403"/>
      <c r="RUW20" s="403" t="s">
        <v>99</v>
      </c>
      <c r="RUX20" s="403"/>
      <c r="RUY20" s="403"/>
      <c r="RUZ20" s="403"/>
      <c r="RVA20" s="403"/>
      <c r="RVB20" s="403"/>
      <c r="RVC20" s="403"/>
      <c r="RVD20" s="403"/>
      <c r="RVE20" s="403"/>
      <c r="RVF20" s="403"/>
      <c r="RVG20" s="403"/>
      <c r="RVH20" s="403"/>
      <c r="RVI20" s="403"/>
      <c r="RVJ20" s="403"/>
      <c r="RVK20" s="403"/>
      <c r="RVL20" s="403"/>
      <c r="RVM20" s="403"/>
      <c r="RVN20" s="403"/>
      <c r="RVO20" s="403"/>
      <c r="RVP20" s="403"/>
      <c r="RVQ20" s="403"/>
      <c r="RVR20" s="403"/>
      <c r="RVS20" s="403"/>
      <c r="RVT20" s="403"/>
      <c r="RVU20" s="403"/>
      <c r="RVV20" s="403"/>
      <c r="RVW20" s="403"/>
      <c r="RVX20" s="403"/>
      <c r="RVY20" s="403"/>
      <c r="RVZ20" s="403"/>
      <c r="RWA20" s="403"/>
      <c r="RWB20" s="403"/>
      <c r="RWC20" s="403" t="s">
        <v>99</v>
      </c>
      <c r="RWD20" s="403"/>
      <c r="RWE20" s="403"/>
      <c r="RWF20" s="403"/>
      <c r="RWG20" s="403"/>
      <c r="RWH20" s="403"/>
      <c r="RWI20" s="403"/>
      <c r="RWJ20" s="403"/>
      <c r="RWK20" s="403"/>
      <c r="RWL20" s="403"/>
      <c r="RWM20" s="403"/>
      <c r="RWN20" s="403"/>
      <c r="RWO20" s="403"/>
      <c r="RWP20" s="403"/>
      <c r="RWQ20" s="403"/>
      <c r="RWR20" s="403"/>
      <c r="RWS20" s="403"/>
      <c r="RWT20" s="403"/>
      <c r="RWU20" s="403"/>
      <c r="RWV20" s="403"/>
      <c r="RWW20" s="403"/>
      <c r="RWX20" s="403"/>
      <c r="RWY20" s="403"/>
      <c r="RWZ20" s="403"/>
      <c r="RXA20" s="403"/>
      <c r="RXB20" s="403"/>
      <c r="RXC20" s="403"/>
      <c r="RXD20" s="403"/>
      <c r="RXE20" s="403"/>
      <c r="RXF20" s="403"/>
      <c r="RXG20" s="403"/>
      <c r="RXH20" s="403"/>
      <c r="RXI20" s="403" t="s">
        <v>99</v>
      </c>
      <c r="RXJ20" s="403"/>
      <c r="RXK20" s="403"/>
      <c r="RXL20" s="403"/>
      <c r="RXM20" s="403"/>
      <c r="RXN20" s="403"/>
      <c r="RXO20" s="403"/>
      <c r="RXP20" s="403"/>
      <c r="RXQ20" s="403"/>
      <c r="RXR20" s="403"/>
      <c r="RXS20" s="403"/>
      <c r="RXT20" s="403"/>
      <c r="RXU20" s="403"/>
      <c r="RXV20" s="403"/>
      <c r="RXW20" s="403"/>
      <c r="RXX20" s="403"/>
      <c r="RXY20" s="403"/>
      <c r="RXZ20" s="403"/>
      <c r="RYA20" s="403"/>
      <c r="RYB20" s="403"/>
      <c r="RYC20" s="403"/>
      <c r="RYD20" s="403"/>
      <c r="RYE20" s="403"/>
      <c r="RYF20" s="403"/>
      <c r="RYG20" s="403"/>
      <c r="RYH20" s="403"/>
      <c r="RYI20" s="403"/>
      <c r="RYJ20" s="403"/>
      <c r="RYK20" s="403"/>
      <c r="RYL20" s="403"/>
      <c r="RYM20" s="403"/>
      <c r="RYN20" s="403"/>
      <c r="RYO20" s="403" t="s">
        <v>99</v>
      </c>
      <c r="RYP20" s="403"/>
      <c r="RYQ20" s="403"/>
      <c r="RYR20" s="403"/>
      <c r="RYS20" s="403"/>
      <c r="RYT20" s="403"/>
      <c r="RYU20" s="403"/>
      <c r="RYV20" s="403"/>
      <c r="RYW20" s="403"/>
      <c r="RYX20" s="403"/>
      <c r="RYY20" s="403"/>
      <c r="RYZ20" s="403"/>
      <c r="RZA20" s="403"/>
      <c r="RZB20" s="403"/>
      <c r="RZC20" s="403"/>
      <c r="RZD20" s="403"/>
      <c r="RZE20" s="403"/>
      <c r="RZF20" s="403"/>
      <c r="RZG20" s="403"/>
      <c r="RZH20" s="403"/>
      <c r="RZI20" s="403"/>
      <c r="RZJ20" s="403"/>
      <c r="RZK20" s="403"/>
      <c r="RZL20" s="403"/>
      <c r="RZM20" s="403"/>
      <c r="RZN20" s="403"/>
      <c r="RZO20" s="403"/>
      <c r="RZP20" s="403"/>
      <c r="RZQ20" s="403"/>
      <c r="RZR20" s="403"/>
      <c r="RZS20" s="403"/>
      <c r="RZT20" s="403"/>
      <c r="RZU20" s="403" t="s">
        <v>99</v>
      </c>
      <c r="RZV20" s="403"/>
      <c r="RZW20" s="403"/>
      <c r="RZX20" s="403"/>
      <c r="RZY20" s="403"/>
      <c r="RZZ20" s="403"/>
      <c r="SAA20" s="403"/>
      <c r="SAB20" s="403"/>
      <c r="SAC20" s="403"/>
      <c r="SAD20" s="403"/>
      <c r="SAE20" s="403"/>
      <c r="SAF20" s="403"/>
      <c r="SAG20" s="403"/>
      <c r="SAH20" s="403"/>
      <c r="SAI20" s="403"/>
      <c r="SAJ20" s="403"/>
      <c r="SAK20" s="403"/>
      <c r="SAL20" s="403"/>
      <c r="SAM20" s="403"/>
      <c r="SAN20" s="403"/>
      <c r="SAO20" s="403"/>
      <c r="SAP20" s="403"/>
      <c r="SAQ20" s="403"/>
      <c r="SAR20" s="403"/>
      <c r="SAS20" s="403"/>
      <c r="SAT20" s="403"/>
      <c r="SAU20" s="403"/>
      <c r="SAV20" s="403"/>
      <c r="SAW20" s="403"/>
      <c r="SAX20" s="403"/>
      <c r="SAY20" s="403"/>
      <c r="SAZ20" s="403"/>
      <c r="SBA20" s="403" t="s">
        <v>99</v>
      </c>
      <c r="SBB20" s="403"/>
      <c r="SBC20" s="403"/>
      <c r="SBD20" s="403"/>
      <c r="SBE20" s="403"/>
      <c r="SBF20" s="403"/>
      <c r="SBG20" s="403"/>
      <c r="SBH20" s="403"/>
      <c r="SBI20" s="403"/>
      <c r="SBJ20" s="403"/>
      <c r="SBK20" s="403"/>
      <c r="SBL20" s="403"/>
      <c r="SBM20" s="403"/>
      <c r="SBN20" s="403"/>
      <c r="SBO20" s="403"/>
      <c r="SBP20" s="403"/>
      <c r="SBQ20" s="403"/>
      <c r="SBR20" s="403"/>
      <c r="SBS20" s="403"/>
      <c r="SBT20" s="403"/>
      <c r="SBU20" s="403"/>
      <c r="SBV20" s="403"/>
      <c r="SBW20" s="403"/>
      <c r="SBX20" s="403"/>
      <c r="SBY20" s="403"/>
      <c r="SBZ20" s="403"/>
      <c r="SCA20" s="403"/>
      <c r="SCB20" s="403"/>
      <c r="SCC20" s="403"/>
      <c r="SCD20" s="403"/>
      <c r="SCE20" s="403"/>
      <c r="SCF20" s="403"/>
      <c r="SCG20" s="403" t="s">
        <v>99</v>
      </c>
      <c r="SCH20" s="403"/>
      <c r="SCI20" s="403"/>
      <c r="SCJ20" s="403"/>
      <c r="SCK20" s="403"/>
      <c r="SCL20" s="403"/>
      <c r="SCM20" s="403"/>
      <c r="SCN20" s="403"/>
      <c r="SCO20" s="403"/>
      <c r="SCP20" s="403"/>
      <c r="SCQ20" s="403"/>
      <c r="SCR20" s="403"/>
      <c r="SCS20" s="403"/>
      <c r="SCT20" s="403"/>
      <c r="SCU20" s="403"/>
      <c r="SCV20" s="403"/>
      <c r="SCW20" s="403"/>
      <c r="SCX20" s="403"/>
      <c r="SCY20" s="403"/>
      <c r="SCZ20" s="403"/>
      <c r="SDA20" s="403"/>
      <c r="SDB20" s="403"/>
      <c r="SDC20" s="403"/>
      <c r="SDD20" s="403"/>
      <c r="SDE20" s="403"/>
      <c r="SDF20" s="403"/>
      <c r="SDG20" s="403"/>
      <c r="SDH20" s="403"/>
      <c r="SDI20" s="403"/>
      <c r="SDJ20" s="403"/>
      <c r="SDK20" s="403"/>
      <c r="SDL20" s="403"/>
      <c r="SDM20" s="403" t="s">
        <v>99</v>
      </c>
      <c r="SDN20" s="403"/>
      <c r="SDO20" s="403"/>
      <c r="SDP20" s="403"/>
      <c r="SDQ20" s="403"/>
      <c r="SDR20" s="403"/>
      <c r="SDS20" s="403"/>
      <c r="SDT20" s="403"/>
      <c r="SDU20" s="403"/>
      <c r="SDV20" s="403"/>
      <c r="SDW20" s="403"/>
      <c r="SDX20" s="403"/>
      <c r="SDY20" s="403"/>
      <c r="SDZ20" s="403"/>
      <c r="SEA20" s="403"/>
      <c r="SEB20" s="403"/>
      <c r="SEC20" s="403"/>
      <c r="SED20" s="403"/>
      <c r="SEE20" s="403"/>
      <c r="SEF20" s="403"/>
      <c r="SEG20" s="403"/>
      <c r="SEH20" s="403"/>
      <c r="SEI20" s="403"/>
      <c r="SEJ20" s="403"/>
      <c r="SEK20" s="403"/>
      <c r="SEL20" s="403"/>
      <c r="SEM20" s="403"/>
      <c r="SEN20" s="403"/>
      <c r="SEO20" s="403"/>
      <c r="SEP20" s="403"/>
      <c r="SEQ20" s="403"/>
      <c r="SER20" s="403"/>
      <c r="SES20" s="403" t="s">
        <v>99</v>
      </c>
      <c r="SET20" s="403"/>
      <c r="SEU20" s="403"/>
      <c r="SEV20" s="403"/>
      <c r="SEW20" s="403"/>
      <c r="SEX20" s="403"/>
      <c r="SEY20" s="403"/>
      <c r="SEZ20" s="403"/>
      <c r="SFA20" s="403"/>
      <c r="SFB20" s="403"/>
      <c r="SFC20" s="403"/>
      <c r="SFD20" s="403"/>
      <c r="SFE20" s="403"/>
      <c r="SFF20" s="403"/>
      <c r="SFG20" s="403"/>
      <c r="SFH20" s="403"/>
      <c r="SFI20" s="403"/>
      <c r="SFJ20" s="403"/>
      <c r="SFK20" s="403"/>
      <c r="SFL20" s="403"/>
      <c r="SFM20" s="403"/>
      <c r="SFN20" s="403"/>
      <c r="SFO20" s="403"/>
      <c r="SFP20" s="403"/>
      <c r="SFQ20" s="403"/>
      <c r="SFR20" s="403"/>
      <c r="SFS20" s="403"/>
      <c r="SFT20" s="403"/>
      <c r="SFU20" s="403"/>
      <c r="SFV20" s="403"/>
      <c r="SFW20" s="403"/>
      <c r="SFX20" s="403"/>
      <c r="SFY20" s="403" t="s">
        <v>99</v>
      </c>
      <c r="SFZ20" s="403"/>
      <c r="SGA20" s="403"/>
      <c r="SGB20" s="403"/>
      <c r="SGC20" s="403"/>
      <c r="SGD20" s="403"/>
      <c r="SGE20" s="403"/>
      <c r="SGF20" s="403"/>
      <c r="SGG20" s="403"/>
      <c r="SGH20" s="403"/>
      <c r="SGI20" s="403"/>
      <c r="SGJ20" s="403"/>
      <c r="SGK20" s="403"/>
      <c r="SGL20" s="403"/>
      <c r="SGM20" s="403"/>
      <c r="SGN20" s="403"/>
      <c r="SGO20" s="403"/>
      <c r="SGP20" s="403"/>
      <c r="SGQ20" s="403"/>
      <c r="SGR20" s="403"/>
      <c r="SGS20" s="403"/>
      <c r="SGT20" s="403"/>
      <c r="SGU20" s="403"/>
      <c r="SGV20" s="403"/>
      <c r="SGW20" s="403"/>
      <c r="SGX20" s="403"/>
      <c r="SGY20" s="403"/>
      <c r="SGZ20" s="403"/>
      <c r="SHA20" s="403"/>
      <c r="SHB20" s="403"/>
      <c r="SHC20" s="403"/>
      <c r="SHD20" s="403"/>
      <c r="SHE20" s="403" t="s">
        <v>99</v>
      </c>
      <c r="SHF20" s="403"/>
      <c r="SHG20" s="403"/>
      <c r="SHH20" s="403"/>
      <c r="SHI20" s="403"/>
      <c r="SHJ20" s="403"/>
      <c r="SHK20" s="403"/>
      <c r="SHL20" s="403"/>
      <c r="SHM20" s="403"/>
      <c r="SHN20" s="403"/>
      <c r="SHO20" s="403"/>
      <c r="SHP20" s="403"/>
      <c r="SHQ20" s="403"/>
      <c r="SHR20" s="403"/>
      <c r="SHS20" s="403"/>
      <c r="SHT20" s="403"/>
      <c r="SHU20" s="403"/>
      <c r="SHV20" s="403"/>
      <c r="SHW20" s="403"/>
      <c r="SHX20" s="403"/>
      <c r="SHY20" s="403"/>
      <c r="SHZ20" s="403"/>
      <c r="SIA20" s="403"/>
      <c r="SIB20" s="403"/>
      <c r="SIC20" s="403"/>
      <c r="SID20" s="403"/>
      <c r="SIE20" s="403"/>
      <c r="SIF20" s="403"/>
      <c r="SIG20" s="403"/>
      <c r="SIH20" s="403"/>
      <c r="SII20" s="403"/>
      <c r="SIJ20" s="403"/>
      <c r="SIK20" s="403" t="s">
        <v>99</v>
      </c>
      <c r="SIL20" s="403"/>
      <c r="SIM20" s="403"/>
      <c r="SIN20" s="403"/>
      <c r="SIO20" s="403"/>
      <c r="SIP20" s="403"/>
      <c r="SIQ20" s="403"/>
      <c r="SIR20" s="403"/>
      <c r="SIS20" s="403"/>
      <c r="SIT20" s="403"/>
      <c r="SIU20" s="403"/>
      <c r="SIV20" s="403"/>
      <c r="SIW20" s="403"/>
      <c r="SIX20" s="403"/>
      <c r="SIY20" s="403"/>
      <c r="SIZ20" s="403"/>
      <c r="SJA20" s="403"/>
      <c r="SJB20" s="403"/>
      <c r="SJC20" s="403"/>
      <c r="SJD20" s="403"/>
      <c r="SJE20" s="403"/>
      <c r="SJF20" s="403"/>
      <c r="SJG20" s="403"/>
      <c r="SJH20" s="403"/>
      <c r="SJI20" s="403"/>
      <c r="SJJ20" s="403"/>
      <c r="SJK20" s="403"/>
      <c r="SJL20" s="403"/>
      <c r="SJM20" s="403"/>
      <c r="SJN20" s="403"/>
      <c r="SJO20" s="403"/>
      <c r="SJP20" s="403"/>
      <c r="SJQ20" s="403" t="s">
        <v>99</v>
      </c>
      <c r="SJR20" s="403"/>
      <c r="SJS20" s="403"/>
      <c r="SJT20" s="403"/>
      <c r="SJU20" s="403"/>
      <c r="SJV20" s="403"/>
      <c r="SJW20" s="403"/>
      <c r="SJX20" s="403"/>
      <c r="SJY20" s="403"/>
      <c r="SJZ20" s="403"/>
      <c r="SKA20" s="403"/>
      <c r="SKB20" s="403"/>
      <c r="SKC20" s="403"/>
      <c r="SKD20" s="403"/>
      <c r="SKE20" s="403"/>
      <c r="SKF20" s="403"/>
      <c r="SKG20" s="403"/>
      <c r="SKH20" s="403"/>
      <c r="SKI20" s="403"/>
      <c r="SKJ20" s="403"/>
      <c r="SKK20" s="403"/>
      <c r="SKL20" s="403"/>
      <c r="SKM20" s="403"/>
      <c r="SKN20" s="403"/>
      <c r="SKO20" s="403"/>
      <c r="SKP20" s="403"/>
      <c r="SKQ20" s="403"/>
      <c r="SKR20" s="403"/>
      <c r="SKS20" s="403"/>
      <c r="SKT20" s="403"/>
      <c r="SKU20" s="403"/>
      <c r="SKV20" s="403"/>
      <c r="SKW20" s="403" t="s">
        <v>99</v>
      </c>
      <c r="SKX20" s="403"/>
      <c r="SKY20" s="403"/>
      <c r="SKZ20" s="403"/>
      <c r="SLA20" s="403"/>
      <c r="SLB20" s="403"/>
      <c r="SLC20" s="403"/>
      <c r="SLD20" s="403"/>
      <c r="SLE20" s="403"/>
      <c r="SLF20" s="403"/>
      <c r="SLG20" s="403"/>
      <c r="SLH20" s="403"/>
      <c r="SLI20" s="403"/>
      <c r="SLJ20" s="403"/>
      <c r="SLK20" s="403"/>
      <c r="SLL20" s="403"/>
      <c r="SLM20" s="403"/>
      <c r="SLN20" s="403"/>
      <c r="SLO20" s="403"/>
      <c r="SLP20" s="403"/>
      <c r="SLQ20" s="403"/>
      <c r="SLR20" s="403"/>
      <c r="SLS20" s="403"/>
      <c r="SLT20" s="403"/>
      <c r="SLU20" s="403"/>
      <c r="SLV20" s="403"/>
      <c r="SLW20" s="403"/>
      <c r="SLX20" s="403"/>
      <c r="SLY20" s="403"/>
      <c r="SLZ20" s="403"/>
      <c r="SMA20" s="403"/>
      <c r="SMB20" s="403"/>
      <c r="SMC20" s="403" t="s">
        <v>99</v>
      </c>
      <c r="SMD20" s="403"/>
      <c r="SME20" s="403"/>
      <c r="SMF20" s="403"/>
      <c r="SMG20" s="403"/>
      <c r="SMH20" s="403"/>
      <c r="SMI20" s="403"/>
      <c r="SMJ20" s="403"/>
      <c r="SMK20" s="403"/>
      <c r="SML20" s="403"/>
      <c r="SMM20" s="403"/>
      <c r="SMN20" s="403"/>
      <c r="SMO20" s="403"/>
      <c r="SMP20" s="403"/>
      <c r="SMQ20" s="403"/>
      <c r="SMR20" s="403"/>
      <c r="SMS20" s="403"/>
      <c r="SMT20" s="403"/>
      <c r="SMU20" s="403"/>
      <c r="SMV20" s="403"/>
      <c r="SMW20" s="403"/>
      <c r="SMX20" s="403"/>
      <c r="SMY20" s="403"/>
      <c r="SMZ20" s="403"/>
      <c r="SNA20" s="403"/>
      <c r="SNB20" s="403"/>
      <c r="SNC20" s="403"/>
      <c r="SND20" s="403"/>
      <c r="SNE20" s="403"/>
      <c r="SNF20" s="403"/>
      <c r="SNG20" s="403"/>
      <c r="SNH20" s="403"/>
      <c r="SNI20" s="403" t="s">
        <v>99</v>
      </c>
      <c r="SNJ20" s="403"/>
      <c r="SNK20" s="403"/>
      <c r="SNL20" s="403"/>
      <c r="SNM20" s="403"/>
      <c r="SNN20" s="403"/>
      <c r="SNO20" s="403"/>
      <c r="SNP20" s="403"/>
      <c r="SNQ20" s="403"/>
      <c r="SNR20" s="403"/>
      <c r="SNS20" s="403"/>
      <c r="SNT20" s="403"/>
      <c r="SNU20" s="403"/>
      <c r="SNV20" s="403"/>
      <c r="SNW20" s="403"/>
      <c r="SNX20" s="403"/>
      <c r="SNY20" s="403"/>
      <c r="SNZ20" s="403"/>
      <c r="SOA20" s="403"/>
      <c r="SOB20" s="403"/>
      <c r="SOC20" s="403"/>
      <c r="SOD20" s="403"/>
      <c r="SOE20" s="403"/>
      <c r="SOF20" s="403"/>
      <c r="SOG20" s="403"/>
      <c r="SOH20" s="403"/>
      <c r="SOI20" s="403"/>
      <c r="SOJ20" s="403"/>
      <c r="SOK20" s="403"/>
      <c r="SOL20" s="403"/>
      <c r="SOM20" s="403"/>
      <c r="SON20" s="403"/>
      <c r="SOO20" s="403" t="s">
        <v>99</v>
      </c>
      <c r="SOP20" s="403"/>
      <c r="SOQ20" s="403"/>
      <c r="SOR20" s="403"/>
      <c r="SOS20" s="403"/>
      <c r="SOT20" s="403"/>
      <c r="SOU20" s="403"/>
      <c r="SOV20" s="403"/>
      <c r="SOW20" s="403"/>
      <c r="SOX20" s="403"/>
      <c r="SOY20" s="403"/>
      <c r="SOZ20" s="403"/>
      <c r="SPA20" s="403"/>
      <c r="SPB20" s="403"/>
      <c r="SPC20" s="403"/>
      <c r="SPD20" s="403"/>
      <c r="SPE20" s="403"/>
      <c r="SPF20" s="403"/>
      <c r="SPG20" s="403"/>
      <c r="SPH20" s="403"/>
      <c r="SPI20" s="403"/>
      <c r="SPJ20" s="403"/>
      <c r="SPK20" s="403"/>
      <c r="SPL20" s="403"/>
      <c r="SPM20" s="403"/>
      <c r="SPN20" s="403"/>
      <c r="SPO20" s="403"/>
      <c r="SPP20" s="403"/>
      <c r="SPQ20" s="403"/>
      <c r="SPR20" s="403"/>
      <c r="SPS20" s="403"/>
      <c r="SPT20" s="403"/>
      <c r="SPU20" s="403" t="s">
        <v>99</v>
      </c>
      <c r="SPV20" s="403"/>
      <c r="SPW20" s="403"/>
      <c r="SPX20" s="403"/>
      <c r="SPY20" s="403"/>
      <c r="SPZ20" s="403"/>
      <c r="SQA20" s="403"/>
      <c r="SQB20" s="403"/>
      <c r="SQC20" s="403"/>
      <c r="SQD20" s="403"/>
      <c r="SQE20" s="403"/>
      <c r="SQF20" s="403"/>
      <c r="SQG20" s="403"/>
      <c r="SQH20" s="403"/>
      <c r="SQI20" s="403"/>
      <c r="SQJ20" s="403"/>
      <c r="SQK20" s="403"/>
      <c r="SQL20" s="403"/>
      <c r="SQM20" s="403"/>
      <c r="SQN20" s="403"/>
      <c r="SQO20" s="403"/>
      <c r="SQP20" s="403"/>
      <c r="SQQ20" s="403"/>
      <c r="SQR20" s="403"/>
      <c r="SQS20" s="403"/>
      <c r="SQT20" s="403"/>
      <c r="SQU20" s="403"/>
      <c r="SQV20" s="403"/>
      <c r="SQW20" s="403"/>
      <c r="SQX20" s="403"/>
      <c r="SQY20" s="403"/>
      <c r="SQZ20" s="403"/>
      <c r="SRA20" s="403" t="s">
        <v>99</v>
      </c>
      <c r="SRB20" s="403"/>
      <c r="SRC20" s="403"/>
      <c r="SRD20" s="403"/>
      <c r="SRE20" s="403"/>
      <c r="SRF20" s="403"/>
      <c r="SRG20" s="403"/>
      <c r="SRH20" s="403"/>
      <c r="SRI20" s="403"/>
      <c r="SRJ20" s="403"/>
      <c r="SRK20" s="403"/>
      <c r="SRL20" s="403"/>
      <c r="SRM20" s="403"/>
      <c r="SRN20" s="403"/>
      <c r="SRO20" s="403"/>
      <c r="SRP20" s="403"/>
      <c r="SRQ20" s="403"/>
      <c r="SRR20" s="403"/>
      <c r="SRS20" s="403"/>
      <c r="SRT20" s="403"/>
      <c r="SRU20" s="403"/>
      <c r="SRV20" s="403"/>
      <c r="SRW20" s="403"/>
      <c r="SRX20" s="403"/>
      <c r="SRY20" s="403"/>
      <c r="SRZ20" s="403"/>
      <c r="SSA20" s="403"/>
      <c r="SSB20" s="403"/>
      <c r="SSC20" s="403"/>
      <c r="SSD20" s="403"/>
      <c r="SSE20" s="403"/>
      <c r="SSF20" s="403"/>
      <c r="SSG20" s="403" t="s">
        <v>99</v>
      </c>
      <c r="SSH20" s="403"/>
      <c r="SSI20" s="403"/>
      <c r="SSJ20" s="403"/>
      <c r="SSK20" s="403"/>
      <c r="SSL20" s="403"/>
      <c r="SSM20" s="403"/>
      <c r="SSN20" s="403"/>
      <c r="SSO20" s="403"/>
      <c r="SSP20" s="403"/>
      <c r="SSQ20" s="403"/>
      <c r="SSR20" s="403"/>
      <c r="SSS20" s="403"/>
      <c r="SST20" s="403"/>
      <c r="SSU20" s="403"/>
      <c r="SSV20" s="403"/>
      <c r="SSW20" s="403"/>
      <c r="SSX20" s="403"/>
      <c r="SSY20" s="403"/>
      <c r="SSZ20" s="403"/>
      <c r="STA20" s="403"/>
      <c r="STB20" s="403"/>
      <c r="STC20" s="403"/>
      <c r="STD20" s="403"/>
      <c r="STE20" s="403"/>
      <c r="STF20" s="403"/>
      <c r="STG20" s="403"/>
      <c r="STH20" s="403"/>
      <c r="STI20" s="403"/>
      <c r="STJ20" s="403"/>
      <c r="STK20" s="403"/>
      <c r="STL20" s="403"/>
      <c r="STM20" s="403" t="s">
        <v>99</v>
      </c>
      <c r="STN20" s="403"/>
      <c r="STO20" s="403"/>
      <c r="STP20" s="403"/>
      <c r="STQ20" s="403"/>
      <c r="STR20" s="403"/>
      <c r="STS20" s="403"/>
      <c r="STT20" s="403"/>
      <c r="STU20" s="403"/>
      <c r="STV20" s="403"/>
      <c r="STW20" s="403"/>
      <c r="STX20" s="403"/>
      <c r="STY20" s="403"/>
      <c r="STZ20" s="403"/>
      <c r="SUA20" s="403"/>
      <c r="SUB20" s="403"/>
      <c r="SUC20" s="403"/>
      <c r="SUD20" s="403"/>
      <c r="SUE20" s="403"/>
      <c r="SUF20" s="403"/>
      <c r="SUG20" s="403"/>
      <c r="SUH20" s="403"/>
      <c r="SUI20" s="403"/>
      <c r="SUJ20" s="403"/>
      <c r="SUK20" s="403"/>
      <c r="SUL20" s="403"/>
      <c r="SUM20" s="403"/>
      <c r="SUN20" s="403"/>
      <c r="SUO20" s="403"/>
      <c r="SUP20" s="403"/>
      <c r="SUQ20" s="403"/>
      <c r="SUR20" s="403"/>
      <c r="SUS20" s="403" t="s">
        <v>99</v>
      </c>
      <c r="SUT20" s="403"/>
      <c r="SUU20" s="403"/>
      <c r="SUV20" s="403"/>
      <c r="SUW20" s="403"/>
      <c r="SUX20" s="403"/>
      <c r="SUY20" s="403"/>
      <c r="SUZ20" s="403"/>
      <c r="SVA20" s="403"/>
      <c r="SVB20" s="403"/>
      <c r="SVC20" s="403"/>
      <c r="SVD20" s="403"/>
      <c r="SVE20" s="403"/>
      <c r="SVF20" s="403"/>
      <c r="SVG20" s="403"/>
      <c r="SVH20" s="403"/>
      <c r="SVI20" s="403"/>
      <c r="SVJ20" s="403"/>
      <c r="SVK20" s="403"/>
      <c r="SVL20" s="403"/>
      <c r="SVM20" s="403"/>
      <c r="SVN20" s="403"/>
      <c r="SVO20" s="403"/>
      <c r="SVP20" s="403"/>
      <c r="SVQ20" s="403"/>
      <c r="SVR20" s="403"/>
      <c r="SVS20" s="403"/>
      <c r="SVT20" s="403"/>
      <c r="SVU20" s="403"/>
      <c r="SVV20" s="403"/>
      <c r="SVW20" s="403"/>
      <c r="SVX20" s="403"/>
      <c r="SVY20" s="403" t="s">
        <v>99</v>
      </c>
      <c r="SVZ20" s="403"/>
      <c r="SWA20" s="403"/>
      <c r="SWB20" s="403"/>
      <c r="SWC20" s="403"/>
      <c r="SWD20" s="403"/>
      <c r="SWE20" s="403"/>
      <c r="SWF20" s="403"/>
      <c r="SWG20" s="403"/>
      <c r="SWH20" s="403"/>
      <c r="SWI20" s="403"/>
      <c r="SWJ20" s="403"/>
      <c r="SWK20" s="403"/>
      <c r="SWL20" s="403"/>
      <c r="SWM20" s="403"/>
      <c r="SWN20" s="403"/>
      <c r="SWO20" s="403"/>
      <c r="SWP20" s="403"/>
      <c r="SWQ20" s="403"/>
      <c r="SWR20" s="403"/>
      <c r="SWS20" s="403"/>
      <c r="SWT20" s="403"/>
      <c r="SWU20" s="403"/>
      <c r="SWV20" s="403"/>
      <c r="SWW20" s="403"/>
      <c r="SWX20" s="403"/>
      <c r="SWY20" s="403"/>
      <c r="SWZ20" s="403"/>
      <c r="SXA20" s="403"/>
      <c r="SXB20" s="403"/>
      <c r="SXC20" s="403"/>
      <c r="SXD20" s="403"/>
      <c r="SXE20" s="403" t="s">
        <v>99</v>
      </c>
      <c r="SXF20" s="403"/>
      <c r="SXG20" s="403"/>
      <c r="SXH20" s="403"/>
      <c r="SXI20" s="403"/>
      <c r="SXJ20" s="403"/>
      <c r="SXK20" s="403"/>
      <c r="SXL20" s="403"/>
      <c r="SXM20" s="403"/>
      <c r="SXN20" s="403"/>
      <c r="SXO20" s="403"/>
      <c r="SXP20" s="403"/>
      <c r="SXQ20" s="403"/>
      <c r="SXR20" s="403"/>
      <c r="SXS20" s="403"/>
      <c r="SXT20" s="403"/>
      <c r="SXU20" s="403"/>
      <c r="SXV20" s="403"/>
      <c r="SXW20" s="403"/>
      <c r="SXX20" s="403"/>
      <c r="SXY20" s="403"/>
      <c r="SXZ20" s="403"/>
      <c r="SYA20" s="403"/>
      <c r="SYB20" s="403"/>
      <c r="SYC20" s="403"/>
      <c r="SYD20" s="403"/>
      <c r="SYE20" s="403"/>
      <c r="SYF20" s="403"/>
      <c r="SYG20" s="403"/>
      <c r="SYH20" s="403"/>
      <c r="SYI20" s="403"/>
      <c r="SYJ20" s="403"/>
      <c r="SYK20" s="403" t="s">
        <v>99</v>
      </c>
      <c r="SYL20" s="403"/>
      <c r="SYM20" s="403"/>
      <c r="SYN20" s="403"/>
      <c r="SYO20" s="403"/>
      <c r="SYP20" s="403"/>
      <c r="SYQ20" s="403"/>
      <c r="SYR20" s="403"/>
      <c r="SYS20" s="403"/>
      <c r="SYT20" s="403"/>
      <c r="SYU20" s="403"/>
      <c r="SYV20" s="403"/>
      <c r="SYW20" s="403"/>
      <c r="SYX20" s="403"/>
      <c r="SYY20" s="403"/>
      <c r="SYZ20" s="403"/>
      <c r="SZA20" s="403"/>
      <c r="SZB20" s="403"/>
      <c r="SZC20" s="403"/>
      <c r="SZD20" s="403"/>
      <c r="SZE20" s="403"/>
      <c r="SZF20" s="403"/>
      <c r="SZG20" s="403"/>
      <c r="SZH20" s="403"/>
      <c r="SZI20" s="403"/>
      <c r="SZJ20" s="403"/>
      <c r="SZK20" s="403"/>
      <c r="SZL20" s="403"/>
      <c r="SZM20" s="403"/>
      <c r="SZN20" s="403"/>
      <c r="SZO20" s="403"/>
      <c r="SZP20" s="403"/>
      <c r="SZQ20" s="403" t="s">
        <v>99</v>
      </c>
      <c r="SZR20" s="403"/>
      <c r="SZS20" s="403"/>
      <c r="SZT20" s="403"/>
      <c r="SZU20" s="403"/>
      <c r="SZV20" s="403"/>
      <c r="SZW20" s="403"/>
      <c r="SZX20" s="403"/>
      <c r="SZY20" s="403"/>
      <c r="SZZ20" s="403"/>
      <c r="TAA20" s="403"/>
      <c r="TAB20" s="403"/>
      <c r="TAC20" s="403"/>
      <c r="TAD20" s="403"/>
      <c r="TAE20" s="403"/>
      <c r="TAF20" s="403"/>
      <c r="TAG20" s="403"/>
      <c r="TAH20" s="403"/>
      <c r="TAI20" s="403"/>
      <c r="TAJ20" s="403"/>
      <c r="TAK20" s="403"/>
      <c r="TAL20" s="403"/>
      <c r="TAM20" s="403"/>
      <c r="TAN20" s="403"/>
      <c r="TAO20" s="403"/>
      <c r="TAP20" s="403"/>
      <c r="TAQ20" s="403"/>
      <c r="TAR20" s="403"/>
      <c r="TAS20" s="403"/>
      <c r="TAT20" s="403"/>
      <c r="TAU20" s="403"/>
      <c r="TAV20" s="403"/>
      <c r="TAW20" s="403" t="s">
        <v>99</v>
      </c>
      <c r="TAX20" s="403"/>
      <c r="TAY20" s="403"/>
      <c r="TAZ20" s="403"/>
      <c r="TBA20" s="403"/>
      <c r="TBB20" s="403"/>
      <c r="TBC20" s="403"/>
      <c r="TBD20" s="403"/>
      <c r="TBE20" s="403"/>
      <c r="TBF20" s="403"/>
      <c r="TBG20" s="403"/>
      <c r="TBH20" s="403"/>
      <c r="TBI20" s="403"/>
      <c r="TBJ20" s="403"/>
      <c r="TBK20" s="403"/>
      <c r="TBL20" s="403"/>
      <c r="TBM20" s="403"/>
      <c r="TBN20" s="403"/>
      <c r="TBO20" s="403"/>
      <c r="TBP20" s="403"/>
      <c r="TBQ20" s="403"/>
      <c r="TBR20" s="403"/>
      <c r="TBS20" s="403"/>
      <c r="TBT20" s="403"/>
      <c r="TBU20" s="403"/>
      <c r="TBV20" s="403"/>
      <c r="TBW20" s="403"/>
      <c r="TBX20" s="403"/>
      <c r="TBY20" s="403"/>
      <c r="TBZ20" s="403"/>
      <c r="TCA20" s="403"/>
      <c r="TCB20" s="403"/>
      <c r="TCC20" s="403" t="s">
        <v>99</v>
      </c>
      <c r="TCD20" s="403"/>
      <c r="TCE20" s="403"/>
      <c r="TCF20" s="403"/>
      <c r="TCG20" s="403"/>
      <c r="TCH20" s="403"/>
      <c r="TCI20" s="403"/>
      <c r="TCJ20" s="403"/>
      <c r="TCK20" s="403"/>
      <c r="TCL20" s="403"/>
      <c r="TCM20" s="403"/>
      <c r="TCN20" s="403"/>
      <c r="TCO20" s="403"/>
      <c r="TCP20" s="403"/>
      <c r="TCQ20" s="403"/>
      <c r="TCR20" s="403"/>
      <c r="TCS20" s="403"/>
      <c r="TCT20" s="403"/>
      <c r="TCU20" s="403"/>
      <c r="TCV20" s="403"/>
      <c r="TCW20" s="403"/>
      <c r="TCX20" s="403"/>
      <c r="TCY20" s="403"/>
      <c r="TCZ20" s="403"/>
      <c r="TDA20" s="403"/>
      <c r="TDB20" s="403"/>
      <c r="TDC20" s="403"/>
      <c r="TDD20" s="403"/>
      <c r="TDE20" s="403"/>
      <c r="TDF20" s="403"/>
      <c r="TDG20" s="403"/>
      <c r="TDH20" s="403"/>
      <c r="TDI20" s="403" t="s">
        <v>99</v>
      </c>
      <c r="TDJ20" s="403"/>
      <c r="TDK20" s="403"/>
      <c r="TDL20" s="403"/>
      <c r="TDM20" s="403"/>
      <c r="TDN20" s="403"/>
      <c r="TDO20" s="403"/>
      <c r="TDP20" s="403"/>
      <c r="TDQ20" s="403"/>
      <c r="TDR20" s="403"/>
      <c r="TDS20" s="403"/>
      <c r="TDT20" s="403"/>
      <c r="TDU20" s="403"/>
      <c r="TDV20" s="403"/>
      <c r="TDW20" s="403"/>
      <c r="TDX20" s="403"/>
      <c r="TDY20" s="403"/>
      <c r="TDZ20" s="403"/>
      <c r="TEA20" s="403"/>
      <c r="TEB20" s="403"/>
      <c r="TEC20" s="403"/>
      <c r="TED20" s="403"/>
      <c r="TEE20" s="403"/>
      <c r="TEF20" s="403"/>
      <c r="TEG20" s="403"/>
      <c r="TEH20" s="403"/>
      <c r="TEI20" s="403"/>
      <c r="TEJ20" s="403"/>
      <c r="TEK20" s="403"/>
      <c r="TEL20" s="403"/>
      <c r="TEM20" s="403"/>
      <c r="TEN20" s="403"/>
      <c r="TEO20" s="403" t="s">
        <v>99</v>
      </c>
      <c r="TEP20" s="403"/>
      <c r="TEQ20" s="403"/>
      <c r="TER20" s="403"/>
      <c r="TES20" s="403"/>
      <c r="TET20" s="403"/>
      <c r="TEU20" s="403"/>
      <c r="TEV20" s="403"/>
      <c r="TEW20" s="403"/>
      <c r="TEX20" s="403"/>
      <c r="TEY20" s="403"/>
      <c r="TEZ20" s="403"/>
      <c r="TFA20" s="403"/>
      <c r="TFB20" s="403"/>
      <c r="TFC20" s="403"/>
      <c r="TFD20" s="403"/>
      <c r="TFE20" s="403"/>
      <c r="TFF20" s="403"/>
      <c r="TFG20" s="403"/>
      <c r="TFH20" s="403"/>
      <c r="TFI20" s="403"/>
      <c r="TFJ20" s="403"/>
      <c r="TFK20" s="403"/>
      <c r="TFL20" s="403"/>
      <c r="TFM20" s="403"/>
      <c r="TFN20" s="403"/>
      <c r="TFO20" s="403"/>
      <c r="TFP20" s="403"/>
      <c r="TFQ20" s="403"/>
      <c r="TFR20" s="403"/>
      <c r="TFS20" s="403"/>
      <c r="TFT20" s="403"/>
      <c r="TFU20" s="403" t="s">
        <v>99</v>
      </c>
      <c r="TFV20" s="403"/>
      <c r="TFW20" s="403"/>
      <c r="TFX20" s="403"/>
      <c r="TFY20" s="403"/>
      <c r="TFZ20" s="403"/>
      <c r="TGA20" s="403"/>
      <c r="TGB20" s="403"/>
      <c r="TGC20" s="403"/>
      <c r="TGD20" s="403"/>
      <c r="TGE20" s="403"/>
      <c r="TGF20" s="403"/>
      <c r="TGG20" s="403"/>
      <c r="TGH20" s="403"/>
      <c r="TGI20" s="403"/>
      <c r="TGJ20" s="403"/>
      <c r="TGK20" s="403"/>
      <c r="TGL20" s="403"/>
      <c r="TGM20" s="403"/>
      <c r="TGN20" s="403"/>
      <c r="TGO20" s="403"/>
      <c r="TGP20" s="403"/>
      <c r="TGQ20" s="403"/>
      <c r="TGR20" s="403"/>
      <c r="TGS20" s="403"/>
      <c r="TGT20" s="403"/>
      <c r="TGU20" s="403"/>
      <c r="TGV20" s="403"/>
      <c r="TGW20" s="403"/>
      <c r="TGX20" s="403"/>
      <c r="TGY20" s="403"/>
      <c r="TGZ20" s="403"/>
      <c r="THA20" s="403" t="s">
        <v>99</v>
      </c>
      <c r="THB20" s="403"/>
      <c r="THC20" s="403"/>
      <c r="THD20" s="403"/>
      <c r="THE20" s="403"/>
      <c r="THF20" s="403"/>
      <c r="THG20" s="403"/>
      <c r="THH20" s="403"/>
      <c r="THI20" s="403"/>
      <c r="THJ20" s="403"/>
      <c r="THK20" s="403"/>
      <c r="THL20" s="403"/>
      <c r="THM20" s="403"/>
      <c r="THN20" s="403"/>
      <c r="THO20" s="403"/>
      <c r="THP20" s="403"/>
      <c r="THQ20" s="403"/>
      <c r="THR20" s="403"/>
      <c r="THS20" s="403"/>
      <c r="THT20" s="403"/>
      <c r="THU20" s="403"/>
      <c r="THV20" s="403"/>
      <c r="THW20" s="403"/>
      <c r="THX20" s="403"/>
      <c r="THY20" s="403"/>
      <c r="THZ20" s="403"/>
      <c r="TIA20" s="403"/>
      <c r="TIB20" s="403"/>
      <c r="TIC20" s="403"/>
      <c r="TID20" s="403"/>
      <c r="TIE20" s="403"/>
      <c r="TIF20" s="403"/>
      <c r="TIG20" s="403" t="s">
        <v>99</v>
      </c>
      <c r="TIH20" s="403"/>
      <c r="TII20" s="403"/>
      <c r="TIJ20" s="403"/>
      <c r="TIK20" s="403"/>
      <c r="TIL20" s="403"/>
      <c r="TIM20" s="403"/>
      <c r="TIN20" s="403"/>
      <c r="TIO20" s="403"/>
      <c r="TIP20" s="403"/>
      <c r="TIQ20" s="403"/>
      <c r="TIR20" s="403"/>
      <c r="TIS20" s="403"/>
      <c r="TIT20" s="403"/>
      <c r="TIU20" s="403"/>
      <c r="TIV20" s="403"/>
      <c r="TIW20" s="403"/>
      <c r="TIX20" s="403"/>
      <c r="TIY20" s="403"/>
      <c r="TIZ20" s="403"/>
      <c r="TJA20" s="403"/>
      <c r="TJB20" s="403"/>
      <c r="TJC20" s="403"/>
      <c r="TJD20" s="403"/>
      <c r="TJE20" s="403"/>
      <c r="TJF20" s="403"/>
      <c r="TJG20" s="403"/>
      <c r="TJH20" s="403"/>
      <c r="TJI20" s="403"/>
      <c r="TJJ20" s="403"/>
      <c r="TJK20" s="403"/>
      <c r="TJL20" s="403"/>
      <c r="TJM20" s="403" t="s">
        <v>99</v>
      </c>
      <c r="TJN20" s="403"/>
      <c r="TJO20" s="403"/>
      <c r="TJP20" s="403"/>
      <c r="TJQ20" s="403"/>
      <c r="TJR20" s="403"/>
      <c r="TJS20" s="403"/>
      <c r="TJT20" s="403"/>
      <c r="TJU20" s="403"/>
      <c r="TJV20" s="403"/>
      <c r="TJW20" s="403"/>
      <c r="TJX20" s="403"/>
      <c r="TJY20" s="403"/>
      <c r="TJZ20" s="403"/>
      <c r="TKA20" s="403"/>
      <c r="TKB20" s="403"/>
      <c r="TKC20" s="403"/>
      <c r="TKD20" s="403"/>
      <c r="TKE20" s="403"/>
      <c r="TKF20" s="403"/>
      <c r="TKG20" s="403"/>
      <c r="TKH20" s="403"/>
      <c r="TKI20" s="403"/>
      <c r="TKJ20" s="403"/>
      <c r="TKK20" s="403"/>
      <c r="TKL20" s="403"/>
      <c r="TKM20" s="403"/>
      <c r="TKN20" s="403"/>
      <c r="TKO20" s="403"/>
      <c r="TKP20" s="403"/>
      <c r="TKQ20" s="403"/>
      <c r="TKR20" s="403"/>
      <c r="TKS20" s="403" t="s">
        <v>99</v>
      </c>
      <c r="TKT20" s="403"/>
      <c r="TKU20" s="403"/>
      <c r="TKV20" s="403"/>
      <c r="TKW20" s="403"/>
      <c r="TKX20" s="403"/>
      <c r="TKY20" s="403"/>
      <c r="TKZ20" s="403"/>
      <c r="TLA20" s="403"/>
      <c r="TLB20" s="403"/>
      <c r="TLC20" s="403"/>
      <c r="TLD20" s="403"/>
      <c r="TLE20" s="403"/>
      <c r="TLF20" s="403"/>
      <c r="TLG20" s="403"/>
      <c r="TLH20" s="403"/>
      <c r="TLI20" s="403"/>
      <c r="TLJ20" s="403"/>
      <c r="TLK20" s="403"/>
      <c r="TLL20" s="403"/>
      <c r="TLM20" s="403"/>
      <c r="TLN20" s="403"/>
      <c r="TLO20" s="403"/>
      <c r="TLP20" s="403"/>
      <c r="TLQ20" s="403"/>
      <c r="TLR20" s="403"/>
      <c r="TLS20" s="403"/>
      <c r="TLT20" s="403"/>
      <c r="TLU20" s="403"/>
      <c r="TLV20" s="403"/>
      <c r="TLW20" s="403"/>
      <c r="TLX20" s="403"/>
      <c r="TLY20" s="403" t="s">
        <v>99</v>
      </c>
      <c r="TLZ20" s="403"/>
      <c r="TMA20" s="403"/>
      <c r="TMB20" s="403"/>
      <c r="TMC20" s="403"/>
      <c r="TMD20" s="403"/>
      <c r="TME20" s="403"/>
      <c r="TMF20" s="403"/>
      <c r="TMG20" s="403"/>
      <c r="TMH20" s="403"/>
      <c r="TMI20" s="403"/>
      <c r="TMJ20" s="403"/>
      <c r="TMK20" s="403"/>
      <c r="TML20" s="403"/>
      <c r="TMM20" s="403"/>
      <c r="TMN20" s="403"/>
      <c r="TMO20" s="403"/>
      <c r="TMP20" s="403"/>
      <c r="TMQ20" s="403"/>
      <c r="TMR20" s="403"/>
      <c r="TMS20" s="403"/>
      <c r="TMT20" s="403"/>
      <c r="TMU20" s="403"/>
      <c r="TMV20" s="403"/>
      <c r="TMW20" s="403"/>
      <c r="TMX20" s="403"/>
      <c r="TMY20" s="403"/>
      <c r="TMZ20" s="403"/>
      <c r="TNA20" s="403"/>
      <c r="TNB20" s="403"/>
      <c r="TNC20" s="403"/>
      <c r="TND20" s="403"/>
      <c r="TNE20" s="403" t="s">
        <v>99</v>
      </c>
      <c r="TNF20" s="403"/>
      <c r="TNG20" s="403"/>
      <c r="TNH20" s="403"/>
      <c r="TNI20" s="403"/>
      <c r="TNJ20" s="403"/>
      <c r="TNK20" s="403"/>
      <c r="TNL20" s="403"/>
      <c r="TNM20" s="403"/>
      <c r="TNN20" s="403"/>
      <c r="TNO20" s="403"/>
      <c r="TNP20" s="403"/>
      <c r="TNQ20" s="403"/>
      <c r="TNR20" s="403"/>
      <c r="TNS20" s="403"/>
      <c r="TNT20" s="403"/>
      <c r="TNU20" s="403"/>
      <c r="TNV20" s="403"/>
      <c r="TNW20" s="403"/>
      <c r="TNX20" s="403"/>
      <c r="TNY20" s="403"/>
      <c r="TNZ20" s="403"/>
      <c r="TOA20" s="403"/>
      <c r="TOB20" s="403"/>
      <c r="TOC20" s="403"/>
      <c r="TOD20" s="403"/>
      <c r="TOE20" s="403"/>
      <c r="TOF20" s="403"/>
      <c r="TOG20" s="403"/>
      <c r="TOH20" s="403"/>
      <c r="TOI20" s="403"/>
      <c r="TOJ20" s="403"/>
      <c r="TOK20" s="403" t="s">
        <v>99</v>
      </c>
      <c r="TOL20" s="403"/>
      <c r="TOM20" s="403"/>
      <c r="TON20" s="403"/>
      <c r="TOO20" s="403"/>
      <c r="TOP20" s="403"/>
      <c r="TOQ20" s="403"/>
      <c r="TOR20" s="403"/>
      <c r="TOS20" s="403"/>
      <c r="TOT20" s="403"/>
      <c r="TOU20" s="403"/>
      <c r="TOV20" s="403"/>
      <c r="TOW20" s="403"/>
      <c r="TOX20" s="403"/>
      <c r="TOY20" s="403"/>
      <c r="TOZ20" s="403"/>
      <c r="TPA20" s="403"/>
      <c r="TPB20" s="403"/>
      <c r="TPC20" s="403"/>
      <c r="TPD20" s="403"/>
      <c r="TPE20" s="403"/>
      <c r="TPF20" s="403"/>
      <c r="TPG20" s="403"/>
      <c r="TPH20" s="403"/>
      <c r="TPI20" s="403"/>
      <c r="TPJ20" s="403"/>
      <c r="TPK20" s="403"/>
      <c r="TPL20" s="403"/>
      <c r="TPM20" s="403"/>
      <c r="TPN20" s="403"/>
      <c r="TPO20" s="403"/>
      <c r="TPP20" s="403"/>
      <c r="TPQ20" s="403" t="s">
        <v>99</v>
      </c>
      <c r="TPR20" s="403"/>
      <c r="TPS20" s="403"/>
      <c r="TPT20" s="403"/>
      <c r="TPU20" s="403"/>
      <c r="TPV20" s="403"/>
      <c r="TPW20" s="403"/>
      <c r="TPX20" s="403"/>
      <c r="TPY20" s="403"/>
      <c r="TPZ20" s="403"/>
      <c r="TQA20" s="403"/>
      <c r="TQB20" s="403"/>
      <c r="TQC20" s="403"/>
      <c r="TQD20" s="403"/>
      <c r="TQE20" s="403"/>
      <c r="TQF20" s="403"/>
      <c r="TQG20" s="403"/>
      <c r="TQH20" s="403"/>
      <c r="TQI20" s="403"/>
      <c r="TQJ20" s="403"/>
      <c r="TQK20" s="403"/>
      <c r="TQL20" s="403"/>
      <c r="TQM20" s="403"/>
      <c r="TQN20" s="403"/>
      <c r="TQO20" s="403"/>
      <c r="TQP20" s="403"/>
      <c r="TQQ20" s="403"/>
      <c r="TQR20" s="403"/>
      <c r="TQS20" s="403"/>
      <c r="TQT20" s="403"/>
      <c r="TQU20" s="403"/>
      <c r="TQV20" s="403"/>
      <c r="TQW20" s="403" t="s">
        <v>99</v>
      </c>
      <c r="TQX20" s="403"/>
      <c r="TQY20" s="403"/>
      <c r="TQZ20" s="403"/>
      <c r="TRA20" s="403"/>
      <c r="TRB20" s="403"/>
      <c r="TRC20" s="403"/>
      <c r="TRD20" s="403"/>
      <c r="TRE20" s="403"/>
      <c r="TRF20" s="403"/>
      <c r="TRG20" s="403"/>
      <c r="TRH20" s="403"/>
      <c r="TRI20" s="403"/>
      <c r="TRJ20" s="403"/>
      <c r="TRK20" s="403"/>
      <c r="TRL20" s="403"/>
      <c r="TRM20" s="403"/>
      <c r="TRN20" s="403"/>
      <c r="TRO20" s="403"/>
      <c r="TRP20" s="403"/>
      <c r="TRQ20" s="403"/>
      <c r="TRR20" s="403"/>
      <c r="TRS20" s="403"/>
      <c r="TRT20" s="403"/>
      <c r="TRU20" s="403"/>
      <c r="TRV20" s="403"/>
      <c r="TRW20" s="403"/>
      <c r="TRX20" s="403"/>
      <c r="TRY20" s="403"/>
      <c r="TRZ20" s="403"/>
      <c r="TSA20" s="403"/>
      <c r="TSB20" s="403"/>
      <c r="TSC20" s="403" t="s">
        <v>99</v>
      </c>
      <c r="TSD20" s="403"/>
      <c r="TSE20" s="403"/>
      <c r="TSF20" s="403"/>
      <c r="TSG20" s="403"/>
      <c r="TSH20" s="403"/>
      <c r="TSI20" s="403"/>
      <c r="TSJ20" s="403"/>
      <c r="TSK20" s="403"/>
      <c r="TSL20" s="403"/>
      <c r="TSM20" s="403"/>
      <c r="TSN20" s="403"/>
      <c r="TSO20" s="403"/>
      <c r="TSP20" s="403"/>
      <c r="TSQ20" s="403"/>
      <c r="TSR20" s="403"/>
      <c r="TSS20" s="403"/>
      <c r="TST20" s="403"/>
      <c r="TSU20" s="403"/>
      <c r="TSV20" s="403"/>
      <c r="TSW20" s="403"/>
      <c r="TSX20" s="403"/>
      <c r="TSY20" s="403"/>
      <c r="TSZ20" s="403"/>
      <c r="TTA20" s="403"/>
      <c r="TTB20" s="403"/>
      <c r="TTC20" s="403"/>
      <c r="TTD20" s="403"/>
      <c r="TTE20" s="403"/>
      <c r="TTF20" s="403"/>
      <c r="TTG20" s="403"/>
      <c r="TTH20" s="403"/>
      <c r="TTI20" s="403" t="s">
        <v>99</v>
      </c>
      <c r="TTJ20" s="403"/>
      <c r="TTK20" s="403"/>
      <c r="TTL20" s="403"/>
      <c r="TTM20" s="403"/>
      <c r="TTN20" s="403"/>
      <c r="TTO20" s="403"/>
      <c r="TTP20" s="403"/>
      <c r="TTQ20" s="403"/>
      <c r="TTR20" s="403"/>
      <c r="TTS20" s="403"/>
      <c r="TTT20" s="403"/>
      <c r="TTU20" s="403"/>
      <c r="TTV20" s="403"/>
      <c r="TTW20" s="403"/>
      <c r="TTX20" s="403"/>
      <c r="TTY20" s="403"/>
      <c r="TTZ20" s="403"/>
      <c r="TUA20" s="403"/>
      <c r="TUB20" s="403"/>
      <c r="TUC20" s="403"/>
      <c r="TUD20" s="403"/>
      <c r="TUE20" s="403"/>
      <c r="TUF20" s="403"/>
      <c r="TUG20" s="403"/>
      <c r="TUH20" s="403"/>
      <c r="TUI20" s="403"/>
      <c r="TUJ20" s="403"/>
      <c r="TUK20" s="403"/>
      <c r="TUL20" s="403"/>
      <c r="TUM20" s="403"/>
      <c r="TUN20" s="403"/>
      <c r="TUO20" s="403" t="s">
        <v>99</v>
      </c>
      <c r="TUP20" s="403"/>
      <c r="TUQ20" s="403"/>
      <c r="TUR20" s="403"/>
      <c r="TUS20" s="403"/>
      <c r="TUT20" s="403"/>
      <c r="TUU20" s="403"/>
      <c r="TUV20" s="403"/>
      <c r="TUW20" s="403"/>
      <c r="TUX20" s="403"/>
      <c r="TUY20" s="403"/>
      <c r="TUZ20" s="403"/>
      <c r="TVA20" s="403"/>
      <c r="TVB20" s="403"/>
      <c r="TVC20" s="403"/>
      <c r="TVD20" s="403"/>
      <c r="TVE20" s="403"/>
      <c r="TVF20" s="403"/>
      <c r="TVG20" s="403"/>
      <c r="TVH20" s="403"/>
      <c r="TVI20" s="403"/>
      <c r="TVJ20" s="403"/>
      <c r="TVK20" s="403"/>
      <c r="TVL20" s="403"/>
      <c r="TVM20" s="403"/>
      <c r="TVN20" s="403"/>
      <c r="TVO20" s="403"/>
      <c r="TVP20" s="403"/>
      <c r="TVQ20" s="403"/>
      <c r="TVR20" s="403"/>
      <c r="TVS20" s="403"/>
      <c r="TVT20" s="403"/>
      <c r="TVU20" s="403" t="s">
        <v>99</v>
      </c>
      <c r="TVV20" s="403"/>
      <c r="TVW20" s="403"/>
      <c r="TVX20" s="403"/>
      <c r="TVY20" s="403"/>
      <c r="TVZ20" s="403"/>
      <c r="TWA20" s="403"/>
      <c r="TWB20" s="403"/>
      <c r="TWC20" s="403"/>
      <c r="TWD20" s="403"/>
      <c r="TWE20" s="403"/>
      <c r="TWF20" s="403"/>
      <c r="TWG20" s="403"/>
      <c r="TWH20" s="403"/>
      <c r="TWI20" s="403"/>
      <c r="TWJ20" s="403"/>
      <c r="TWK20" s="403"/>
      <c r="TWL20" s="403"/>
      <c r="TWM20" s="403"/>
      <c r="TWN20" s="403"/>
      <c r="TWO20" s="403"/>
      <c r="TWP20" s="403"/>
      <c r="TWQ20" s="403"/>
      <c r="TWR20" s="403"/>
      <c r="TWS20" s="403"/>
      <c r="TWT20" s="403"/>
      <c r="TWU20" s="403"/>
      <c r="TWV20" s="403"/>
      <c r="TWW20" s="403"/>
      <c r="TWX20" s="403"/>
      <c r="TWY20" s="403"/>
      <c r="TWZ20" s="403"/>
      <c r="TXA20" s="403" t="s">
        <v>99</v>
      </c>
      <c r="TXB20" s="403"/>
      <c r="TXC20" s="403"/>
      <c r="TXD20" s="403"/>
      <c r="TXE20" s="403"/>
      <c r="TXF20" s="403"/>
      <c r="TXG20" s="403"/>
      <c r="TXH20" s="403"/>
      <c r="TXI20" s="403"/>
      <c r="TXJ20" s="403"/>
      <c r="TXK20" s="403"/>
      <c r="TXL20" s="403"/>
      <c r="TXM20" s="403"/>
      <c r="TXN20" s="403"/>
      <c r="TXO20" s="403"/>
      <c r="TXP20" s="403"/>
      <c r="TXQ20" s="403"/>
      <c r="TXR20" s="403"/>
      <c r="TXS20" s="403"/>
      <c r="TXT20" s="403"/>
      <c r="TXU20" s="403"/>
      <c r="TXV20" s="403"/>
      <c r="TXW20" s="403"/>
      <c r="TXX20" s="403"/>
      <c r="TXY20" s="403"/>
      <c r="TXZ20" s="403"/>
      <c r="TYA20" s="403"/>
      <c r="TYB20" s="403"/>
      <c r="TYC20" s="403"/>
      <c r="TYD20" s="403"/>
      <c r="TYE20" s="403"/>
      <c r="TYF20" s="403"/>
      <c r="TYG20" s="403" t="s">
        <v>99</v>
      </c>
      <c r="TYH20" s="403"/>
      <c r="TYI20" s="403"/>
      <c r="TYJ20" s="403"/>
      <c r="TYK20" s="403"/>
      <c r="TYL20" s="403"/>
      <c r="TYM20" s="403"/>
      <c r="TYN20" s="403"/>
      <c r="TYO20" s="403"/>
      <c r="TYP20" s="403"/>
      <c r="TYQ20" s="403"/>
      <c r="TYR20" s="403"/>
      <c r="TYS20" s="403"/>
      <c r="TYT20" s="403"/>
      <c r="TYU20" s="403"/>
      <c r="TYV20" s="403"/>
      <c r="TYW20" s="403"/>
      <c r="TYX20" s="403"/>
      <c r="TYY20" s="403"/>
      <c r="TYZ20" s="403"/>
      <c r="TZA20" s="403"/>
      <c r="TZB20" s="403"/>
      <c r="TZC20" s="403"/>
      <c r="TZD20" s="403"/>
      <c r="TZE20" s="403"/>
      <c r="TZF20" s="403"/>
      <c r="TZG20" s="403"/>
      <c r="TZH20" s="403"/>
      <c r="TZI20" s="403"/>
      <c r="TZJ20" s="403"/>
      <c r="TZK20" s="403"/>
      <c r="TZL20" s="403"/>
      <c r="TZM20" s="403" t="s">
        <v>99</v>
      </c>
      <c r="TZN20" s="403"/>
      <c r="TZO20" s="403"/>
      <c r="TZP20" s="403"/>
      <c r="TZQ20" s="403"/>
      <c r="TZR20" s="403"/>
      <c r="TZS20" s="403"/>
      <c r="TZT20" s="403"/>
      <c r="TZU20" s="403"/>
      <c r="TZV20" s="403"/>
      <c r="TZW20" s="403"/>
      <c r="TZX20" s="403"/>
      <c r="TZY20" s="403"/>
      <c r="TZZ20" s="403"/>
      <c r="UAA20" s="403"/>
      <c r="UAB20" s="403"/>
      <c r="UAC20" s="403"/>
      <c r="UAD20" s="403"/>
      <c r="UAE20" s="403"/>
      <c r="UAF20" s="403"/>
      <c r="UAG20" s="403"/>
      <c r="UAH20" s="403"/>
      <c r="UAI20" s="403"/>
      <c r="UAJ20" s="403"/>
      <c r="UAK20" s="403"/>
      <c r="UAL20" s="403"/>
      <c r="UAM20" s="403"/>
      <c r="UAN20" s="403"/>
      <c r="UAO20" s="403"/>
      <c r="UAP20" s="403"/>
      <c r="UAQ20" s="403"/>
      <c r="UAR20" s="403"/>
      <c r="UAS20" s="403" t="s">
        <v>99</v>
      </c>
      <c r="UAT20" s="403"/>
      <c r="UAU20" s="403"/>
      <c r="UAV20" s="403"/>
      <c r="UAW20" s="403"/>
      <c r="UAX20" s="403"/>
      <c r="UAY20" s="403"/>
      <c r="UAZ20" s="403"/>
      <c r="UBA20" s="403"/>
      <c r="UBB20" s="403"/>
      <c r="UBC20" s="403"/>
      <c r="UBD20" s="403"/>
      <c r="UBE20" s="403"/>
      <c r="UBF20" s="403"/>
      <c r="UBG20" s="403"/>
      <c r="UBH20" s="403"/>
      <c r="UBI20" s="403"/>
      <c r="UBJ20" s="403"/>
      <c r="UBK20" s="403"/>
      <c r="UBL20" s="403"/>
      <c r="UBM20" s="403"/>
      <c r="UBN20" s="403"/>
      <c r="UBO20" s="403"/>
      <c r="UBP20" s="403"/>
      <c r="UBQ20" s="403"/>
      <c r="UBR20" s="403"/>
      <c r="UBS20" s="403"/>
      <c r="UBT20" s="403"/>
      <c r="UBU20" s="403"/>
      <c r="UBV20" s="403"/>
      <c r="UBW20" s="403"/>
      <c r="UBX20" s="403"/>
      <c r="UBY20" s="403" t="s">
        <v>99</v>
      </c>
      <c r="UBZ20" s="403"/>
      <c r="UCA20" s="403"/>
      <c r="UCB20" s="403"/>
      <c r="UCC20" s="403"/>
      <c r="UCD20" s="403"/>
      <c r="UCE20" s="403"/>
      <c r="UCF20" s="403"/>
      <c r="UCG20" s="403"/>
      <c r="UCH20" s="403"/>
      <c r="UCI20" s="403"/>
      <c r="UCJ20" s="403"/>
      <c r="UCK20" s="403"/>
      <c r="UCL20" s="403"/>
      <c r="UCM20" s="403"/>
      <c r="UCN20" s="403"/>
      <c r="UCO20" s="403"/>
      <c r="UCP20" s="403"/>
      <c r="UCQ20" s="403"/>
      <c r="UCR20" s="403"/>
      <c r="UCS20" s="403"/>
      <c r="UCT20" s="403"/>
      <c r="UCU20" s="403"/>
      <c r="UCV20" s="403"/>
      <c r="UCW20" s="403"/>
      <c r="UCX20" s="403"/>
      <c r="UCY20" s="403"/>
      <c r="UCZ20" s="403"/>
      <c r="UDA20" s="403"/>
      <c r="UDB20" s="403"/>
      <c r="UDC20" s="403"/>
      <c r="UDD20" s="403"/>
      <c r="UDE20" s="403" t="s">
        <v>99</v>
      </c>
      <c r="UDF20" s="403"/>
      <c r="UDG20" s="403"/>
      <c r="UDH20" s="403"/>
      <c r="UDI20" s="403"/>
      <c r="UDJ20" s="403"/>
      <c r="UDK20" s="403"/>
      <c r="UDL20" s="403"/>
      <c r="UDM20" s="403"/>
      <c r="UDN20" s="403"/>
      <c r="UDO20" s="403"/>
      <c r="UDP20" s="403"/>
      <c r="UDQ20" s="403"/>
      <c r="UDR20" s="403"/>
      <c r="UDS20" s="403"/>
      <c r="UDT20" s="403"/>
      <c r="UDU20" s="403"/>
      <c r="UDV20" s="403"/>
      <c r="UDW20" s="403"/>
      <c r="UDX20" s="403"/>
      <c r="UDY20" s="403"/>
      <c r="UDZ20" s="403"/>
      <c r="UEA20" s="403"/>
      <c r="UEB20" s="403"/>
      <c r="UEC20" s="403"/>
      <c r="UED20" s="403"/>
      <c r="UEE20" s="403"/>
      <c r="UEF20" s="403"/>
      <c r="UEG20" s="403"/>
      <c r="UEH20" s="403"/>
      <c r="UEI20" s="403"/>
      <c r="UEJ20" s="403"/>
      <c r="UEK20" s="403" t="s">
        <v>99</v>
      </c>
      <c r="UEL20" s="403"/>
      <c r="UEM20" s="403"/>
      <c r="UEN20" s="403"/>
      <c r="UEO20" s="403"/>
      <c r="UEP20" s="403"/>
      <c r="UEQ20" s="403"/>
      <c r="UER20" s="403"/>
      <c r="UES20" s="403"/>
      <c r="UET20" s="403"/>
      <c r="UEU20" s="403"/>
      <c r="UEV20" s="403"/>
      <c r="UEW20" s="403"/>
      <c r="UEX20" s="403"/>
      <c r="UEY20" s="403"/>
      <c r="UEZ20" s="403"/>
      <c r="UFA20" s="403"/>
      <c r="UFB20" s="403"/>
      <c r="UFC20" s="403"/>
      <c r="UFD20" s="403"/>
      <c r="UFE20" s="403"/>
      <c r="UFF20" s="403"/>
      <c r="UFG20" s="403"/>
      <c r="UFH20" s="403"/>
      <c r="UFI20" s="403"/>
      <c r="UFJ20" s="403"/>
      <c r="UFK20" s="403"/>
      <c r="UFL20" s="403"/>
      <c r="UFM20" s="403"/>
      <c r="UFN20" s="403"/>
      <c r="UFO20" s="403"/>
      <c r="UFP20" s="403"/>
      <c r="UFQ20" s="403" t="s">
        <v>99</v>
      </c>
      <c r="UFR20" s="403"/>
      <c r="UFS20" s="403"/>
      <c r="UFT20" s="403"/>
      <c r="UFU20" s="403"/>
      <c r="UFV20" s="403"/>
      <c r="UFW20" s="403"/>
      <c r="UFX20" s="403"/>
      <c r="UFY20" s="403"/>
      <c r="UFZ20" s="403"/>
      <c r="UGA20" s="403"/>
      <c r="UGB20" s="403"/>
      <c r="UGC20" s="403"/>
      <c r="UGD20" s="403"/>
      <c r="UGE20" s="403"/>
      <c r="UGF20" s="403"/>
      <c r="UGG20" s="403"/>
      <c r="UGH20" s="403"/>
      <c r="UGI20" s="403"/>
      <c r="UGJ20" s="403"/>
      <c r="UGK20" s="403"/>
      <c r="UGL20" s="403"/>
      <c r="UGM20" s="403"/>
      <c r="UGN20" s="403"/>
      <c r="UGO20" s="403"/>
      <c r="UGP20" s="403"/>
      <c r="UGQ20" s="403"/>
      <c r="UGR20" s="403"/>
      <c r="UGS20" s="403"/>
      <c r="UGT20" s="403"/>
      <c r="UGU20" s="403"/>
      <c r="UGV20" s="403"/>
      <c r="UGW20" s="403" t="s">
        <v>99</v>
      </c>
      <c r="UGX20" s="403"/>
      <c r="UGY20" s="403"/>
      <c r="UGZ20" s="403"/>
      <c r="UHA20" s="403"/>
      <c r="UHB20" s="403"/>
      <c r="UHC20" s="403"/>
      <c r="UHD20" s="403"/>
      <c r="UHE20" s="403"/>
      <c r="UHF20" s="403"/>
      <c r="UHG20" s="403"/>
      <c r="UHH20" s="403"/>
      <c r="UHI20" s="403"/>
      <c r="UHJ20" s="403"/>
      <c r="UHK20" s="403"/>
      <c r="UHL20" s="403"/>
      <c r="UHM20" s="403"/>
      <c r="UHN20" s="403"/>
      <c r="UHO20" s="403"/>
      <c r="UHP20" s="403"/>
      <c r="UHQ20" s="403"/>
      <c r="UHR20" s="403"/>
      <c r="UHS20" s="403"/>
      <c r="UHT20" s="403"/>
      <c r="UHU20" s="403"/>
      <c r="UHV20" s="403"/>
      <c r="UHW20" s="403"/>
      <c r="UHX20" s="403"/>
      <c r="UHY20" s="403"/>
      <c r="UHZ20" s="403"/>
      <c r="UIA20" s="403"/>
      <c r="UIB20" s="403"/>
      <c r="UIC20" s="403" t="s">
        <v>99</v>
      </c>
      <c r="UID20" s="403"/>
      <c r="UIE20" s="403"/>
      <c r="UIF20" s="403"/>
      <c r="UIG20" s="403"/>
      <c r="UIH20" s="403"/>
      <c r="UII20" s="403"/>
      <c r="UIJ20" s="403"/>
      <c r="UIK20" s="403"/>
      <c r="UIL20" s="403"/>
      <c r="UIM20" s="403"/>
      <c r="UIN20" s="403"/>
      <c r="UIO20" s="403"/>
      <c r="UIP20" s="403"/>
      <c r="UIQ20" s="403"/>
      <c r="UIR20" s="403"/>
      <c r="UIS20" s="403"/>
      <c r="UIT20" s="403"/>
      <c r="UIU20" s="403"/>
      <c r="UIV20" s="403"/>
      <c r="UIW20" s="403"/>
      <c r="UIX20" s="403"/>
      <c r="UIY20" s="403"/>
      <c r="UIZ20" s="403"/>
      <c r="UJA20" s="403"/>
      <c r="UJB20" s="403"/>
      <c r="UJC20" s="403"/>
      <c r="UJD20" s="403"/>
      <c r="UJE20" s="403"/>
      <c r="UJF20" s="403"/>
      <c r="UJG20" s="403"/>
      <c r="UJH20" s="403"/>
      <c r="UJI20" s="403" t="s">
        <v>99</v>
      </c>
      <c r="UJJ20" s="403"/>
      <c r="UJK20" s="403"/>
      <c r="UJL20" s="403"/>
      <c r="UJM20" s="403"/>
      <c r="UJN20" s="403"/>
      <c r="UJO20" s="403"/>
      <c r="UJP20" s="403"/>
      <c r="UJQ20" s="403"/>
      <c r="UJR20" s="403"/>
      <c r="UJS20" s="403"/>
      <c r="UJT20" s="403"/>
      <c r="UJU20" s="403"/>
      <c r="UJV20" s="403"/>
      <c r="UJW20" s="403"/>
      <c r="UJX20" s="403"/>
      <c r="UJY20" s="403"/>
      <c r="UJZ20" s="403"/>
      <c r="UKA20" s="403"/>
      <c r="UKB20" s="403"/>
      <c r="UKC20" s="403"/>
      <c r="UKD20" s="403"/>
      <c r="UKE20" s="403"/>
      <c r="UKF20" s="403"/>
      <c r="UKG20" s="403"/>
      <c r="UKH20" s="403"/>
      <c r="UKI20" s="403"/>
      <c r="UKJ20" s="403"/>
      <c r="UKK20" s="403"/>
      <c r="UKL20" s="403"/>
      <c r="UKM20" s="403"/>
      <c r="UKN20" s="403"/>
      <c r="UKO20" s="403" t="s">
        <v>99</v>
      </c>
      <c r="UKP20" s="403"/>
      <c r="UKQ20" s="403"/>
      <c r="UKR20" s="403"/>
      <c r="UKS20" s="403"/>
      <c r="UKT20" s="403"/>
      <c r="UKU20" s="403"/>
      <c r="UKV20" s="403"/>
      <c r="UKW20" s="403"/>
      <c r="UKX20" s="403"/>
      <c r="UKY20" s="403"/>
      <c r="UKZ20" s="403"/>
      <c r="ULA20" s="403"/>
      <c r="ULB20" s="403"/>
      <c r="ULC20" s="403"/>
      <c r="ULD20" s="403"/>
      <c r="ULE20" s="403"/>
      <c r="ULF20" s="403"/>
      <c r="ULG20" s="403"/>
      <c r="ULH20" s="403"/>
      <c r="ULI20" s="403"/>
      <c r="ULJ20" s="403"/>
      <c r="ULK20" s="403"/>
      <c r="ULL20" s="403"/>
      <c r="ULM20" s="403"/>
      <c r="ULN20" s="403"/>
      <c r="ULO20" s="403"/>
      <c r="ULP20" s="403"/>
      <c r="ULQ20" s="403"/>
      <c r="ULR20" s="403"/>
      <c r="ULS20" s="403"/>
      <c r="ULT20" s="403"/>
      <c r="ULU20" s="403" t="s">
        <v>99</v>
      </c>
      <c r="ULV20" s="403"/>
      <c r="ULW20" s="403"/>
      <c r="ULX20" s="403"/>
      <c r="ULY20" s="403"/>
      <c r="ULZ20" s="403"/>
      <c r="UMA20" s="403"/>
      <c r="UMB20" s="403"/>
      <c r="UMC20" s="403"/>
      <c r="UMD20" s="403"/>
      <c r="UME20" s="403"/>
      <c r="UMF20" s="403"/>
      <c r="UMG20" s="403"/>
      <c r="UMH20" s="403"/>
      <c r="UMI20" s="403"/>
      <c r="UMJ20" s="403"/>
      <c r="UMK20" s="403"/>
      <c r="UML20" s="403"/>
      <c r="UMM20" s="403"/>
      <c r="UMN20" s="403"/>
      <c r="UMO20" s="403"/>
      <c r="UMP20" s="403"/>
      <c r="UMQ20" s="403"/>
      <c r="UMR20" s="403"/>
      <c r="UMS20" s="403"/>
      <c r="UMT20" s="403"/>
      <c r="UMU20" s="403"/>
      <c r="UMV20" s="403"/>
      <c r="UMW20" s="403"/>
      <c r="UMX20" s="403"/>
      <c r="UMY20" s="403"/>
      <c r="UMZ20" s="403"/>
      <c r="UNA20" s="403" t="s">
        <v>99</v>
      </c>
      <c r="UNB20" s="403"/>
      <c r="UNC20" s="403"/>
      <c r="UND20" s="403"/>
      <c r="UNE20" s="403"/>
      <c r="UNF20" s="403"/>
      <c r="UNG20" s="403"/>
      <c r="UNH20" s="403"/>
      <c r="UNI20" s="403"/>
      <c r="UNJ20" s="403"/>
      <c r="UNK20" s="403"/>
      <c r="UNL20" s="403"/>
      <c r="UNM20" s="403"/>
      <c r="UNN20" s="403"/>
      <c r="UNO20" s="403"/>
      <c r="UNP20" s="403"/>
      <c r="UNQ20" s="403"/>
      <c r="UNR20" s="403"/>
      <c r="UNS20" s="403"/>
      <c r="UNT20" s="403"/>
      <c r="UNU20" s="403"/>
      <c r="UNV20" s="403"/>
      <c r="UNW20" s="403"/>
      <c r="UNX20" s="403"/>
      <c r="UNY20" s="403"/>
      <c r="UNZ20" s="403"/>
      <c r="UOA20" s="403"/>
      <c r="UOB20" s="403"/>
      <c r="UOC20" s="403"/>
      <c r="UOD20" s="403"/>
      <c r="UOE20" s="403"/>
      <c r="UOF20" s="403"/>
      <c r="UOG20" s="403" t="s">
        <v>99</v>
      </c>
      <c r="UOH20" s="403"/>
      <c r="UOI20" s="403"/>
      <c r="UOJ20" s="403"/>
      <c r="UOK20" s="403"/>
      <c r="UOL20" s="403"/>
      <c r="UOM20" s="403"/>
      <c r="UON20" s="403"/>
      <c r="UOO20" s="403"/>
      <c r="UOP20" s="403"/>
      <c r="UOQ20" s="403"/>
      <c r="UOR20" s="403"/>
      <c r="UOS20" s="403"/>
      <c r="UOT20" s="403"/>
      <c r="UOU20" s="403"/>
      <c r="UOV20" s="403"/>
      <c r="UOW20" s="403"/>
      <c r="UOX20" s="403"/>
      <c r="UOY20" s="403"/>
      <c r="UOZ20" s="403"/>
      <c r="UPA20" s="403"/>
      <c r="UPB20" s="403"/>
      <c r="UPC20" s="403"/>
      <c r="UPD20" s="403"/>
      <c r="UPE20" s="403"/>
      <c r="UPF20" s="403"/>
      <c r="UPG20" s="403"/>
      <c r="UPH20" s="403"/>
      <c r="UPI20" s="403"/>
      <c r="UPJ20" s="403"/>
      <c r="UPK20" s="403"/>
      <c r="UPL20" s="403"/>
      <c r="UPM20" s="403" t="s">
        <v>99</v>
      </c>
      <c r="UPN20" s="403"/>
      <c r="UPO20" s="403"/>
      <c r="UPP20" s="403"/>
      <c r="UPQ20" s="403"/>
      <c r="UPR20" s="403"/>
      <c r="UPS20" s="403"/>
      <c r="UPT20" s="403"/>
      <c r="UPU20" s="403"/>
      <c r="UPV20" s="403"/>
      <c r="UPW20" s="403"/>
      <c r="UPX20" s="403"/>
      <c r="UPY20" s="403"/>
      <c r="UPZ20" s="403"/>
      <c r="UQA20" s="403"/>
      <c r="UQB20" s="403"/>
      <c r="UQC20" s="403"/>
      <c r="UQD20" s="403"/>
      <c r="UQE20" s="403"/>
      <c r="UQF20" s="403"/>
      <c r="UQG20" s="403"/>
      <c r="UQH20" s="403"/>
      <c r="UQI20" s="403"/>
      <c r="UQJ20" s="403"/>
      <c r="UQK20" s="403"/>
      <c r="UQL20" s="403"/>
      <c r="UQM20" s="403"/>
      <c r="UQN20" s="403"/>
      <c r="UQO20" s="403"/>
      <c r="UQP20" s="403"/>
      <c r="UQQ20" s="403"/>
      <c r="UQR20" s="403"/>
      <c r="UQS20" s="403" t="s">
        <v>99</v>
      </c>
      <c r="UQT20" s="403"/>
      <c r="UQU20" s="403"/>
      <c r="UQV20" s="403"/>
      <c r="UQW20" s="403"/>
      <c r="UQX20" s="403"/>
      <c r="UQY20" s="403"/>
      <c r="UQZ20" s="403"/>
      <c r="URA20" s="403"/>
      <c r="URB20" s="403"/>
      <c r="URC20" s="403"/>
      <c r="URD20" s="403"/>
      <c r="URE20" s="403"/>
      <c r="URF20" s="403"/>
      <c r="URG20" s="403"/>
      <c r="URH20" s="403"/>
      <c r="URI20" s="403"/>
      <c r="URJ20" s="403"/>
      <c r="URK20" s="403"/>
      <c r="URL20" s="403"/>
      <c r="URM20" s="403"/>
      <c r="URN20" s="403"/>
      <c r="URO20" s="403"/>
      <c r="URP20" s="403"/>
      <c r="URQ20" s="403"/>
      <c r="URR20" s="403"/>
      <c r="URS20" s="403"/>
      <c r="URT20" s="403"/>
      <c r="URU20" s="403"/>
      <c r="URV20" s="403"/>
      <c r="URW20" s="403"/>
      <c r="URX20" s="403"/>
      <c r="URY20" s="403" t="s">
        <v>99</v>
      </c>
      <c r="URZ20" s="403"/>
      <c r="USA20" s="403"/>
      <c r="USB20" s="403"/>
      <c r="USC20" s="403"/>
      <c r="USD20" s="403"/>
      <c r="USE20" s="403"/>
      <c r="USF20" s="403"/>
      <c r="USG20" s="403"/>
      <c r="USH20" s="403"/>
      <c r="USI20" s="403"/>
      <c r="USJ20" s="403"/>
      <c r="USK20" s="403"/>
      <c r="USL20" s="403"/>
      <c r="USM20" s="403"/>
      <c r="USN20" s="403"/>
      <c r="USO20" s="403"/>
      <c r="USP20" s="403"/>
      <c r="USQ20" s="403"/>
      <c r="USR20" s="403"/>
      <c r="USS20" s="403"/>
      <c r="UST20" s="403"/>
      <c r="USU20" s="403"/>
      <c r="USV20" s="403"/>
      <c r="USW20" s="403"/>
      <c r="USX20" s="403"/>
      <c r="USY20" s="403"/>
      <c r="USZ20" s="403"/>
      <c r="UTA20" s="403"/>
      <c r="UTB20" s="403"/>
      <c r="UTC20" s="403"/>
      <c r="UTD20" s="403"/>
      <c r="UTE20" s="403" t="s">
        <v>99</v>
      </c>
      <c r="UTF20" s="403"/>
      <c r="UTG20" s="403"/>
      <c r="UTH20" s="403"/>
      <c r="UTI20" s="403"/>
      <c r="UTJ20" s="403"/>
      <c r="UTK20" s="403"/>
      <c r="UTL20" s="403"/>
      <c r="UTM20" s="403"/>
      <c r="UTN20" s="403"/>
      <c r="UTO20" s="403"/>
      <c r="UTP20" s="403"/>
      <c r="UTQ20" s="403"/>
      <c r="UTR20" s="403"/>
      <c r="UTS20" s="403"/>
      <c r="UTT20" s="403"/>
      <c r="UTU20" s="403"/>
      <c r="UTV20" s="403"/>
      <c r="UTW20" s="403"/>
      <c r="UTX20" s="403"/>
      <c r="UTY20" s="403"/>
      <c r="UTZ20" s="403"/>
      <c r="UUA20" s="403"/>
      <c r="UUB20" s="403"/>
      <c r="UUC20" s="403"/>
      <c r="UUD20" s="403"/>
      <c r="UUE20" s="403"/>
      <c r="UUF20" s="403"/>
      <c r="UUG20" s="403"/>
      <c r="UUH20" s="403"/>
      <c r="UUI20" s="403"/>
      <c r="UUJ20" s="403"/>
      <c r="UUK20" s="403" t="s">
        <v>99</v>
      </c>
      <c r="UUL20" s="403"/>
      <c r="UUM20" s="403"/>
      <c r="UUN20" s="403"/>
      <c r="UUO20" s="403"/>
      <c r="UUP20" s="403"/>
      <c r="UUQ20" s="403"/>
      <c r="UUR20" s="403"/>
      <c r="UUS20" s="403"/>
      <c r="UUT20" s="403"/>
      <c r="UUU20" s="403"/>
      <c r="UUV20" s="403"/>
      <c r="UUW20" s="403"/>
      <c r="UUX20" s="403"/>
      <c r="UUY20" s="403"/>
      <c r="UUZ20" s="403"/>
      <c r="UVA20" s="403"/>
      <c r="UVB20" s="403"/>
      <c r="UVC20" s="403"/>
      <c r="UVD20" s="403"/>
      <c r="UVE20" s="403"/>
      <c r="UVF20" s="403"/>
      <c r="UVG20" s="403"/>
      <c r="UVH20" s="403"/>
      <c r="UVI20" s="403"/>
      <c r="UVJ20" s="403"/>
      <c r="UVK20" s="403"/>
      <c r="UVL20" s="403"/>
      <c r="UVM20" s="403"/>
      <c r="UVN20" s="403"/>
      <c r="UVO20" s="403"/>
      <c r="UVP20" s="403"/>
      <c r="UVQ20" s="403" t="s">
        <v>99</v>
      </c>
      <c r="UVR20" s="403"/>
      <c r="UVS20" s="403"/>
      <c r="UVT20" s="403"/>
      <c r="UVU20" s="403"/>
      <c r="UVV20" s="403"/>
      <c r="UVW20" s="403"/>
      <c r="UVX20" s="403"/>
      <c r="UVY20" s="403"/>
      <c r="UVZ20" s="403"/>
      <c r="UWA20" s="403"/>
      <c r="UWB20" s="403"/>
      <c r="UWC20" s="403"/>
      <c r="UWD20" s="403"/>
      <c r="UWE20" s="403"/>
      <c r="UWF20" s="403"/>
      <c r="UWG20" s="403"/>
      <c r="UWH20" s="403"/>
      <c r="UWI20" s="403"/>
      <c r="UWJ20" s="403"/>
      <c r="UWK20" s="403"/>
      <c r="UWL20" s="403"/>
      <c r="UWM20" s="403"/>
      <c r="UWN20" s="403"/>
      <c r="UWO20" s="403"/>
      <c r="UWP20" s="403"/>
      <c r="UWQ20" s="403"/>
      <c r="UWR20" s="403"/>
      <c r="UWS20" s="403"/>
      <c r="UWT20" s="403"/>
      <c r="UWU20" s="403"/>
      <c r="UWV20" s="403"/>
      <c r="UWW20" s="403" t="s">
        <v>99</v>
      </c>
      <c r="UWX20" s="403"/>
      <c r="UWY20" s="403"/>
      <c r="UWZ20" s="403"/>
      <c r="UXA20" s="403"/>
      <c r="UXB20" s="403"/>
      <c r="UXC20" s="403"/>
      <c r="UXD20" s="403"/>
      <c r="UXE20" s="403"/>
      <c r="UXF20" s="403"/>
      <c r="UXG20" s="403"/>
      <c r="UXH20" s="403"/>
      <c r="UXI20" s="403"/>
      <c r="UXJ20" s="403"/>
      <c r="UXK20" s="403"/>
      <c r="UXL20" s="403"/>
      <c r="UXM20" s="403"/>
      <c r="UXN20" s="403"/>
      <c r="UXO20" s="403"/>
      <c r="UXP20" s="403"/>
      <c r="UXQ20" s="403"/>
      <c r="UXR20" s="403"/>
      <c r="UXS20" s="403"/>
      <c r="UXT20" s="403"/>
      <c r="UXU20" s="403"/>
      <c r="UXV20" s="403"/>
      <c r="UXW20" s="403"/>
      <c r="UXX20" s="403"/>
      <c r="UXY20" s="403"/>
      <c r="UXZ20" s="403"/>
      <c r="UYA20" s="403"/>
      <c r="UYB20" s="403"/>
      <c r="UYC20" s="403" t="s">
        <v>99</v>
      </c>
      <c r="UYD20" s="403"/>
      <c r="UYE20" s="403"/>
      <c r="UYF20" s="403"/>
      <c r="UYG20" s="403"/>
      <c r="UYH20" s="403"/>
      <c r="UYI20" s="403"/>
      <c r="UYJ20" s="403"/>
      <c r="UYK20" s="403"/>
      <c r="UYL20" s="403"/>
      <c r="UYM20" s="403"/>
      <c r="UYN20" s="403"/>
      <c r="UYO20" s="403"/>
      <c r="UYP20" s="403"/>
      <c r="UYQ20" s="403"/>
      <c r="UYR20" s="403"/>
      <c r="UYS20" s="403"/>
      <c r="UYT20" s="403"/>
      <c r="UYU20" s="403"/>
      <c r="UYV20" s="403"/>
      <c r="UYW20" s="403"/>
      <c r="UYX20" s="403"/>
      <c r="UYY20" s="403"/>
      <c r="UYZ20" s="403"/>
      <c r="UZA20" s="403"/>
      <c r="UZB20" s="403"/>
      <c r="UZC20" s="403"/>
      <c r="UZD20" s="403"/>
      <c r="UZE20" s="403"/>
      <c r="UZF20" s="403"/>
      <c r="UZG20" s="403"/>
      <c r="UZH20" s="403"/>
      <c r="UZI20" s="403" t="s">
        <v>99</v>
      </c>
      <c r="UZJ20" s="403"/>
      <c r="UZK20" s="403"/>
      <c r="UZL20" s="403"/>
      <c r="UZM20" s="403"/>
      <c r="UZN20" s="403"/>
      <c r="UZO20" s="403"/>
      <c r="UZP20" s="403"/>
      <c r="UZQ20" s="403"/>
      <c r="UZR20" s="403"/>
      <c r="UZS20" s="403"/>
      <c r="UZT20" s="403"/>
      <c r="UZU20" s="403"/>
      <c r="UZV20" s="403"/>
      <c r="UZW20" s="403"/>
      <c r="UZX20" s="403"/>
      <c r="UZY20" s="403"/>
      <c r="UZZ20" s="403"/>
      <c r="VAA20" s="403"/>
      <c r="VAB20" s="403"/>
      <c r="VAC20" s="403"/>
      <c r="VAD20" s="403"/>
      <c r="VAE20" s="403"/>
      <c r="VAF20" s="403"/>
      <c r="VAG20" s="403"/>
      <c r="VAH20" s="403"/>
      <c r="VAI20" s="403"/>
      <c r="VAJ20" s="403"/>
      <c r="VAK20" s="403"/>
      <c r="VAL20" s="403"/>
      <c r="VAM20" s="403"/>
      <c r="VAN20" s="403"/>
      <c r="VAO20" s="403" t="s">
        <v>99</v>
      </c>
      <c r="VAP20" s="403"/>
      <c r="VAQ20" s="403"/>
      <c r="VAR20" s="403"/>
      <c r="VAS20" s="403"/>
      <c r="VAT20" s="403"/>
      <c r="VAU20" s="403"/>
      <c r="VAV20" s="403"/>
      <c r="VAW20" s="403"/>
      <c r="VAX20" s="403"/>
      <c r="VAY20" s="403"/>
      <c r="VAZ20" s="403"/>
      <c r="VBA20" s="403"/>
      <c r="VBB20" s="403"/>
      <c r="VBC20" s="403"/>
      <c r="VBD20" s="403"/>
      <c r="VBE20" s="403"/>
      <c r="VBF20" s="403"/>
      <c r="VBG20" s="403"/>
      <c r="VBH20" s="403"/>
      <c r="VBI20" s="403"/>
      <c r="VBJ20" s="403"/>
      <c r="VBK20" s="403"/>
      <c r="VBL20" s="403"/>
      <c r="VBM20" s="403"/>
      <c r="VBN20" s="403"/>
      <c r="VBO20" s="403"/>
      <c r="VBP20" s="403"/>
      <c r="VBQ20" s="403"/>
      <c r="VBR20" s="403"/>
      <c r="VBS20" s="403"/>
      <c r="VBT20" s="403"/>
      <c r="VBU20" s="403" t="s">
        <v>99</v>
      </c>
      <c r="VBV20" s="403"/>
      <c r="VBW20" s="403"/>
      <c r="VBX20" s="403"/>
      <c r="VBY20" s="403"/>
      <c r="VBZ20" s="403"/>
      <c r="VCA20" s="403"/>
      <c r="VCB20" s="403"/>
      <c r="VCC20" s="403"/>
      <c r="VCD20" s="403"/>
      <c r="VCE20" s="403"/>
      <c r="VCF20" s="403"/>
      <c r="VCG20" s="403"/>
      <c r="VCH20" s="403"/>
      <c r="VCI20" s="403"/>
      <c r="VCJ20" s="403"/>
      <c r="VCK20" s="403"/>
      <c r="VCL20" s="403"/>
      <c r="VCM20" s="403"/>
      <c r="VCN20" s="403"/>
      <c r="VCO20" s="403"/>
      <c r="VCP20" s="403"/>
      <c r="VCQ20" s="403"/>
      <c r="VCR20" s="403"/>
      <c r="VCS20" s="403"/>
      <c r="VCT20" s="403"/>
      <c r="VCU20" s="403"/>
      <c r="VCV20" s="403"/>
      <c r="VCW20" s="403"/>
      <c r="VCX20" s="403"/>
      <c r="VCY20" s="403"/>
      <c r="VCZ20" s="403"/>
      <c r="VDA20" s="403" t="s">
        <v>99</v>
      </c>
      <c r="VDB20" s="403"/>
      <c r="VDC20" s="403"/>
      <c r="VDD20" s="403"/>
      <c r="VDE20" s="403"/>
      <c r="VDF20" s="403"/>
      <c r="VDG20" s="403"/>
      <c r="VDH20" s="403"/>
      <c r="VDI20" s="403"/>
      <c r="VDJ20" s="403"/>
      <c r="VDK20" s="403"/>
      <c r="VDL20" s="403"/>
      <c r="VDM20" s="403"/>
      <c r="VDN20" s="403"/>
      <c r="VDO20" s="403"/>
      <c r="VDP20" s="403"/>
      <c r="VDQ20" s="403"/>
      <c r="VDR20" s="403"/>
      <c r="VDS20" s="403"/>
      <c r="VDT20" s="403"/>
      <c r="VDU20" s="403"/>
      <c r="VDV20" s="403"/>
      <c r="VDW20" s="403"/>
      <c r="VDX20" s="403"/>
      <c r="VDY20" s="403"/>
      <c r="VDZ20" s="403"/>
      <c r="VEA20" s="403"/>
      <c r="VEB20" s="403"/>
      <c r="VEC20" s="403"/>
      <c r="VED20" s="403"/>
      <c r="VEE20" s="403"/>
      <c r="VEF20" s="403"/>
      <c r="VEG20" s="403" t="s">
        <v>99</v>
      </c>
      <c r="VEH20" s="403"/>
      <c r="VEI20" s="403"/>
      <c r="VEJ20" s="403"/>
      <c r="VEK20" s="403"/>
      <c r="VEL20" s="403"/>
      <c r="VEM20" s="403"/>
      <c r="VEN20" s="403"/>
      <c r="VEO20" s="403"/>
      <c r="VEP20" s="403"/>
      <c r="VEQ20" s="403"/>
      <c r="VER20" s="403"/>
      <c r="VES20" s="403"/>
      <c r="VET20" s="403"/>
      <c r="VEU20" s="403"/>
      <c r="VEV20" s="403"/>
      <c r="VEW20" s="403"/>
      <c r="VEX20" s="403"/>
      <c r="VEY20" s="403"/>
      <c r="VEZ20" s="403"/>
      <c r="VFA20" s="403"/>
      <c r="VFB20" s="403"/>
      <c r="VFC20" s="403"/>
      <c r="VFD20" s="403"/>
      <c r="VFE20" s="403"/>
      <c r="VFF20" s="403"/>
      <c r="VFG20" s="403"/>
      <c r="VFH20" s="403"/>
      <c r="VFI20" s="403"/>
      <c r="VFJ20" s="403"/>
      <c r="VFK20" s="403"/>
      <c r="VFL20" s="403"/>
      <c r="VFM20" s="403" t="s">
        <v>99</v>
      </c>
      <c r="VFN20" s="403"/>
      <c r="VFO20" s="403"/>
      <c r="VFP20" s="403"/>
      <c r="VFQ20" s="403"/>
      <c r="VFR20" s="403"/>
      <c r="VFS20" s="403"/>
      <c r="VFT20" s="403"/>
      <c r="VFU20" s="403"/>
      <c r="VFV20" s="403"/>
      <c r="VFW20" s="403"/>
      <c r="VFX20" s="403"/>
      <c r="VFY20" s="403"/>
      <c r="VFZ20" s="403"/>
      <c r="VGA20" s="403"/>
      <c r="VGB20" s="403"/>
      <c r="VGC20" s="403"/>
      <c r="VGD20" s="403"/>
      <c r="VGE20" s="403"/>
      <c r="VGF20" s="403"/>
      <c r="VGG20" s="403"/>
      <c r="VGH20" s="403"/>
      <c r="VGI20" s="403"/>
      <c r="VGJ20" s="403"/>
      <c r="VGK20" s="403"/>
      <c r="VGL20" s="403"/>
      <c r="VGM20" s="403"/>
      <c r="VGN20" s="403"/>
      <c r="VGO20" s="403"/>
      <c r="VGP20" s="403"/>
      <c r="VGQ20" s="403"/>
      <c r="VGR20" s="403"/>
      <c r="VGS20" s="403" t="s">
        <v>99</v>
      </c>
      <c r="VGT20" s="403"/>
      <c r="VGU20" s="403"/>
      <c r="VGV20" s="403"/>
      <c r="VGW20" s="403"/>
      <c r="VGX20" s="403"/>
      <c r="VGY20" s="403"/>
      <c r="VGZ20" s="403"/>
      <c r="VHA20" s="403"/>
      <c r="VHB20" s="403"/>
      <c r="VHC20" s="403"/>
      <c r="VHD20" s="403"/>
      <c r="VHE20" s="403"/>
      <c r="VHF20" s="403"/>
      <c r="VHG20" s="403"/>
      <c r="VHH20" s="403"/>
      <c r="VHI20" s="403"/>
      <c r="VHJ20" s="403"/>
      <c r="VHK20" s="403"/>
      <c r="VHL20" s="403"/>
      <c r="VHM20" s="403"/>
      <c r="VHN20" s="403"/>
      <c r="VHO20" s="403"/>
      <c r="VHP20" s="403"/>
      <c r="VHQ20" s="403"/>
      <c r="VHR20" s="403"/>
      <c r="VHS20" s="403"/>
      <c r="VHT20" s="403"/>
      <c r="VHU20" s="403"/>
      <c r="VHV20" s="403"/>
      <c r="VHW20" s="403"/>
      <c r="VHX20" s="403"/>
      <c r="VHY20" s="403" t="s">
        <v>99</v>
      </c>
      <c r="VHZ20" s="403"/>
      <c r="VIA20" s="403"/>
      <c r="VIB20" s="403"/>
      <c r="VIC20" s="403"/>
      <c r="VID20" s="403"/>
      <c r="VIE20" s="403"/>
      <c r="VIF20" s="403"/>
      <c r="VIG20" s="403"/>
      <c r="VIH20" s="403"/>
      <c r="VII20" s="403"/>
      <c r="VIJ20" s="403"/>
      <c r="VIK20" s="403"/>
      <c r="VIL20" s="403"/>
      <c r="VIM20" s="403"/>
      <c r="VIN20" s="403"/>
      <c r="VIO20" s="403"/>
      <c r="VIP20" s="403"/>
      <c r="VIQ20" s="403"/>
      <c r="VIR20" s="403"/>
      <c r="VIS20" s="403"/>
      <c r="VIT20" s="403"/>
      <c r="VIU20" s="403"/>
      <c r="VIV20" s="403"/>
      <c r="VIW20" s="403"/>
      <c r="VIX20" s="403"/>
      <c r="VIY20" s="403"/>
      <c r="VIZ20" s="403"/>
      <c r="VJA20" s="403"/>
      <c r="VJB20" s="403"/>
      <c r="VJC20" s="403"/>
      <c r="VJD20" s="403"/>
      <c r="VJE20" s="403" t="s">
        <v>99</v>
      </c>
      <c r="VJF20" s="403"/>
      <c r="VJG20" s="403"/>
      <c r="VJH20" s="403"/>
      <c r="VJI20" s="403"/>
      <c r="VJJ20" s="403"/>
      <c r="VJK20" s="403"/>
      <c r="VJL20" s="403"/>
      <c r="VJM20" s="403"/>
      <c r="VJN20" s="403"/>
      <c r="VJO20" s="403"/>
      <c r="VJP20" s="403"/>
      <c r="VJQ20" s="403"/>
      <c r="VJR20" s="403"/>
      <c r="VJS20" s="403"/>
      <c r="VJT20" s="403"/>
      <c r="VJU20" s="403"/>
      <c r="VJV20" s="403"/>
      <c r="VJW20" s="403"/>
      <c r="VJX20" s="403"/>
      <c r="VJY20" s="403"/>
      <c r="VJZ20" s="403"/>
      <c r="VKA20" s="403"/>
      <c r="VKB20" s="403"/>
      <c r="VKC20" s="403"/>
      <c r="VKD20" s="403"/>
      <c r="VKE20" s="403"/>
      <c r="VKF20" s="403"/>
      <c r="VKG20" s="403"/>
      <c r="VKH20" s="403"/>
      <c r="VKI20" s="403"/>
      <c r="VKJ20" s="403"/>
      <c r="VKK20" s="403" t="s">
        <v>99</v>
      </c>
      <c r="VKL20" s="403"/>
      <c r="VKM20" s="403"/>
      <c r="VKN20" s="403"/>
      <c r="VKO20" s="403"/>
      <c r="VKP20" s="403"/>
      <c r="VKQ20" s="403"/>
      <c r="VKR20" s="403"/>
      <c r="VKS20" s="403"/>
      <c r="VKT20" s="403"/>
      <c r="VKU20" s="403"/>
      <c r="VKV20" s="403"/>
      <c r="VKW20" s="403"/>
      <c r="VKX20" s="403"/>
      <c r="VKY20" s="403"/>
      <c r="VKZ20" s="403"/>
      <c r="VLA20" s="403"/>
      <c r="VLB20" s="403"/>
      <c r="VLC20" s="403"/>
      <c r="VLD20" s="403"/>
      <c r="VLE20" s="403"/>
      <c r="VLF20" s="403"/>
      <c r="VLG20" s="403"/>
      <c r="VLH20" s="403"/>
      <c r="VLI20" s="403"/>
      <c r="VLJ20" s="403"/>
      <c r="VLK20" s="403"/>
      <c r="VLL20" s="403"/>
      <c r="VLM20" s="403"/>
      <c r="VLN20" s="403"/>
      <c r="VLO20" s="403"/>
      <c r="VLP20" s="403"/>
      <c r="VLQ20" s="403" t="s">
        <v>99</v>
      </c>
      <c r="VLR20" s="403"/>
      <c r="VLS20" s="403"/>
      <c r="VLT20" s="403"/>
      <c r="VLU20" s="403"/>
      <c r="VLV20" s="403"/>
      <c r="VLW20" s="403"/>
      <c r="VLX20" s="403"/>
      <c r="VLY20" s="403"/>
      <c r="VLZ20" s="403"/>
      <c r="VMA20" s="403"/>
      <c r="VMB20" s="403"/>
      <c r="VMC20" s="403"/>
      <c r="VMD20" s="403"/>
      <c r="VME20" s="403"/>
      <c r="VMF20" s="403"/>
      <c r="VMG20" s="403"/>
      <c r="VMH20" s="403"/>
      <c r="VMI20" s="403"/>
      <c r="VMJ20" s="403"/>
      <c r="VMK20" s="403"/>
      <c r="VML20" s="403"/>
      <c r="VMM20" s="403"/>
      <c r="VMN20" s="403"/>
      <c r="VMO20" s="403"/>
      <c r="VMP20" s="403"/>
      <c r="VMQ20" s="403"/>
      <c r="VMR20" s="403"/>
      <c r="VMS20" s="403"/>
      <c r="VMT20" s="403"/>
      <c r="VMU20" s="403"/>
      <c r="VMV20" s="403"/>
      <c r="VMW20" s="403" t="s">
        <v>99</v>
      </c>
      <c r="VMX20" s="403"/>
      <c r="VMY20" s="403"/>
      <c r="VMZ20" s="403"/>
      <c r="VNA20" s="403"/>
      <c r="VNB20" s="403"/>
      <c r="VNC20" s="403"/>
      <c r="VND20" s="403"/>
      <c r="VNE20" s="403"/>
      <c r="VNF20" s="403"/>
      <c r="VNG20" s="403"/>
      <c r="VNH20" s="403"/>
      <c r="VNI20" s="403"/>
      <c r="VNJ20" s="403"/>
      <c r="VNK20" s="403"/>
      <c r="VNL20" s="403"/>
      <c r="VNM20" s="403"/>
      <c r="VNN20" s="403"/>
      <c r="VNO20" s="403"/>
      <c r="VNP20" s="403"/>
      <c r="VNQ20" s="403"/>
      <c r="VNR20" s="403"/>
      <c r="VNS20" s="403"/>
      <c r="VNT20" s="403"/>
      <c r="VNU20" s="403"/>
      <c r="VNV20" s="403"/>
      <c r="VNW20" s="403"/>
      <c r="VNX20" s="403"/>
      <c r="VNY20" s="403"/>
      <c r="VNZ20" s="403"/>
      <c r="VOA20" s="403"/>
      <c r="VOB20" s="403"/>
      <c r="VOC20" s="403" t="s">
        <v>99</v>
      </c>
      <c r="VOD20" s="403"/>
      <c r="VOE20" s="403"/>
      <c r="VOF20" s="403"/>
      <c r="VOG20" s="403"/>
      <c r="VOH20" s="403"/>
      <c r="VOI20" s="403"/>
      <c r="VOJ20" s="403"/>
      <c r="VOK20" s="403"/>
      <c r="VOL20" s="403"/>
      <c r="VOM20" s="403"/>
      <c r="VON20" s="403"/>
      <c r="VOO20" s="403"/>
      <c r="VOP20" s="403"/>
      <c r="VOQ20" s="403"/>
      <c r="VOR20" s="403"/>
      <c r="VOS20" s="403"/>
      <c r="VOT20" s="403"/>
      <c r="VOU20" s="403"/>
      <c r="VOV20" s="403"/>
      <c r="VOW20" s="403"/>
      <c r="VOX20" s="403"/>
      <c r="VOY20" s="403"/>
      <c r="VOZ20" s="403"/>
      <c r="VPA20" s="403"/>
      <c r="VPB20" s="403"/>
      <c r="VPC20" s="403"/>
      <c r="VPD20" s="403"/>
      <c r="VPE20" s="403"/>
      <c r="VPF20" s="403"/>
      <c r="VPG20" s="403"/>
      <c r="VPH20" s="403"/>
      <c r="VPI20" s="403" t="s">
        <v>99</v>
      </c>
      <c r="VPJ20" s="403"/>
      <c r="VPK20" s="403"/>
      <c r="VPL20" s="403"/>
      <c r="VPM20" s="403"/>
      <c r="VPN20" s="403"/>
      <c r="VPO20" s="403"/>
      <c r="VPP20" s="403"/>
      <c r="VPQ20" s="403"/>
      <c r="VPR20" s="403"/>
      <c r="VPS20" s="403"/>
      <c r="VPT20" s="403"/>
      <c r="VPU20" s="403"/>
      <c r="VPV20" s="403"/>
      <c r="VPW20" s="403"/>
      <c r="VPX20" s="403"/>
      <c r="VPY20" s="403"/>
      <c r="VPZ20" s="403"/>
      <c r="VQA20" s="403"/>
      <c r="VQB20" s="403"/>
      <c r="VQC20" s="403"/>
      <c r="VQD20" s="403"/>
      <c r="VQE20" s="403"/>
      <c r="VQF20" s="403"/>
      <c r="VQG20" s="403"/>
      <c r="VQH20" s="403"/>
      <c r="VQI20" s="403"/>
      <c r="VQJ20" s="403"/>
      <c r="VQK20" s="403"/>
      <c r="VQL20" s="403"/>
      <c r="VQM20" s="403"/>
      <c r="VQN20" s="403"/>
      <c r="VQO20" s="403" t="s">
        <v>99</v>
      </c>
      <c r="VQP20" s="403"/>
      <c r="VQQ20" s="403"/>
      <c r="VQR20" s="403"/>
      <c r="VQS20" s="403"/>
      <c r="VQT20" s="403"/>
      <c r="VQU20" s="403"/>
      <c r="VQV20" s="403"/>
      <c r="VQW20" s="403"/>
      <c r="VQX20" s="403"/>
      <c r="VQY20" s="403"/>
      <c r="VQZ20" s="403"/>
      <c r="VRA20" s="403"/>
      <c r="VRB20" s="403"/>
      <c r="VRC20" s="403"/>
      <c r="VRD20" s="403"/>
      <c r="VRE20" s="403"/>
      <c r="VRF20" s="403"/>
      <c r="VRG20" s="403"/>
      <c r="VRH20" s="403"/>
      <c r="VRI20" s="403"/>
      <c r="VRJ20" s="403"/>
      <c r="VRK20" s="403"/>
      <c r="VRL20" s="403"/>
      <c r="VRM20" s="403"/>
      <c r="VRN20" s="403"/>
      <c r="VRO20" s="403"/>
      <c r="VRP20" s="403"/>
      <c r="VRQ20" s="403"/>
      <c r="VRR20" s="403"/>
      <c r="VRS20" s="403"/>
      <c r="VRT20" s="403"/>
      <c r="VRU20" s="403" t="s">
        <v>99</v>
      </c>
      <c r="VRV20" s="403"/>
      <c r="VRW20" s="403"/>
      <c r="VRX20" s="403"/>
      <c r="VRY20" s="403"/>
      <c r="VRZ20" s="403"/>
      <c r="VSA20" s="403"/>
      <c r="VSB20" s="403"/>
      <c r="VSC20" s="403"/>
      <c r="VSD20" s="403"/>
      <c r="VSE20" s="403"/>
      <c r="VSF20" s="403"/>
      <c r="VSG20" s="403"/>
      <c r="VSH20" s="403"/>
      <c r="VSI20" s="403"/>
      <c r="VSJ20" s="403"/>
      <c r="VSK20" s="403"/>
      <c r="VSL20" s="403"/>
      <c r="VSM20" s="403"/>
      <c r="VSN20" s="403"/>
      <c r="VSO20" s="403"/>
      <c r="VSP20" s="403"/>
      <c r="VSQ20" s="403"/>
      <c r="VSR20" s="403"/>
      <c r="VSS20" s="403"/>
      <c r="VST20" s="403"/>
      <c r="VSU20" s="403"/>
      <c r="VSV20" s="403"/>
      <c r="VSW20" s="403"/>
      <c r="VSX20" s="403"/>
      <c r="VSY20" s="403"/>
      <c r="VSZ20" s="403"/>
      <c r="VTA20" s="403" t="s">
        <v>99</v>
      </c>
      <c r="VTB20" s="403"/>
      <c r="VTC20" s="403"/>
      <c r="VTD20" s="403"/>
      <c r="VTE20" s="403"/>
      <c r="VTF20" s="403"/>
      <c r="VTG20" s="403"/>
      <c r="VTH20" s="403"/>
      <c r="VTI20" s="403"/>
      <c r="VTJ20" s="403"/>
      <c r="VTK20" s="403"/>
      <c r="VTL20" s="403"/>
      <c r="VTM20" s="403"/>
      <c r="VTN20" s="403"/>
      <c r="VTO20" s="403"/>
      <c r="VTP20" s="403"/>
      <c r="VTQ20" s="403"/>
      <c r="VTR20" s="403"/>
      <c r="VTS20" s="403"/>
      <c r="VTT20" s="403"/>
      <c r="VTU20" s="403"/>
      <c r="VTV20" s="403"/>
      <c r="VTW20" s="403"/>
      <c r="VTX20" s="403"/>
      <c r="VTY20" s="403"/>
      <c r="VTZ20" s="403"/>
      <c r="VUA20" s="403"/>
      <c r="VUB20" s="403"/>
      <c r="VUC20" s="403"/>
      <c r="VUD20" s="403"/>
      <c r="VUE20" s="403"/>
      <c r="VUF20" s="403"/>
      <c r="VUG20" s="403" t="s">
        <v>99</v>
      </c>
      <c r="VUH20" s="403"/>
      <c r="VUI20" s="403"/>
      <c r="VUJ20" s="403"/>
      <c r="VUK20" s="403"/>
      <c r="VUL20" s="403"/>
      <c r="VUM20" s="403"/>
      <c r="VUN20" s="403"/>
      <c r="VUO20" s="403"/>
      <c r="VUP20" s="403"/>
      <c r="VUQ20" s="403"/>
      <c r="VUR20" s="403"/>
      <c r="VUS20" s="403"/>
      <c r="VUT20" s="403"/>
      <c r="VUU20" s="403"/>
      <c r="VUV20" s="403"/>
      <c r="VUW20" s="403"/>
      <c r="VUX20" s="403"/>
      <c r="VUY20" s="403"/>
      <c r="VUZ20" s="403"/>
      <c r="VVA20" s="403"/>
      <c r="VVB20" s="403"/>
      <c r="VVC20" s="403"/>
      <c r="VVD20" s="403"/>
      <c r="VVE20" s="403"/>
      <c r="VVF20" s="403"/>
      <c r="VVG20" s="403"/>
      <c r="VVH20" s="403"/>
      <c r="VVI20" s="403"/>
      <c r="VVJ20" s="403"/>
      <c r="VVK20" s="403"/>
      <c r="VVL20" s="403"/>
      <c r="VVM20" s="403" t="s">
        <v>99</v>
      </c>
      <c r="VVN20" s="403"/>
      <c r="VVO20" s="403"/>
      <c r="VVP20" s="403"/>
      <c r="VVQ20" s="403"/>
      <c r="VVR20" s="403"/>
      <c r="VVS20" s="403"/>
      <c r="VVT20" s="403"/>
      <c r="VVU20" s="403"/>
      <c r="VVV20" s="403"/>
      <c r="VVW20" s="403"/>
      <c r="VVX20" s="403"/>
      <c r="VVY20" s="403"/>
      <c r="VVZ20" s="403"/>
      <c r="VWA20" s="403"/>
      <c r="VWB20" s="403"/>
      <c r="VWC20" s="403"/>
      <c r="VWD20" s="403"/>
      <c r="VWE20" s="403"/>
      <c r="VWF20" s="403"/>
      <c r="VWG20" s="403"/>
      <c r="VWH20" s="403"/>
      <c r="VWI20" s="403"/>
      <c r="VWJ20" s="403"/>
      <c r="VWK20" s="403"/>
      <c r="VWL20" s="403"/>
      <c r="VWM20" s="403"/>
      <c r="VWN20" s="403"/>
      <c r="VWO20" s="403"/>
      <c r="VWP20" s="403"/>
      <c r="VWQ20" s="403"/>
      <c r="VWR20" s="403"/>
      <c r="VWS20" s="403" t="s">
        <v>99</v>
      </c>
      <c r="VWT20" s="403"/>
      <c r="VWU20" s="403"/>
      <c r="VWV20" s="403"/>
      <c r="VWW20" s="403"/>
      <c r="VWX20" s="403"/>
      <c r="VWY20" s="403"/>
      <c r="VWZ20" s="403"/>
      <c r="VXA20" s="403"/>
      <c r="VXB20" s="403"/>
      <c r="VXC20" s="403"/>
      <c r="VXD20" s="403"/>
      <c r="VXE20" s="403"/>
      <c r="VXF20" s="403"/>
      <c r="VXG20" s="403"/>
      <c r="VXH20" s="403"/>
      <c r="VXI20" s="403"/>
      <c r="VXJ20" s="403"/>
      <c r="VXK20" s="403"/>
      <c r="VXL20" s="403"/>
      <c r="VXM20" s="403"/>
      <c r="VXN20" s="403"/>
      <c r="VXO20" s="403"/>
      <c r="VXP20" s="403"/>
      <c r="VXQ20" s="403"/>
      <c r="VXR20" s="403"/>
      <c r="VXS20" s="403"/>
      <c r="VXT20" s="403"/>
      <c r="VXU20" s="403"/>
      <c r="VXV20" s="403"/>
      <c r="VXW20" s="403"/>
      <c r="VXX20" s="403"/>
      <c r="VXY20" s="403" t="s">
        <v>99</v>
      </c>
      <c r="VXZ20" s="403"/>
      <c r="VYA20" s="403"/>
      <c r="VYB20" s="403"/>
      <c r="VYC20" s="403"/>
      <c r="VYD20" s="403"/>
      <c r="VYE20" s="403"/>
      <c r="VYF20" s="403"/>
      <c r="VYG20" s="403"/>
      <c r="VYH20" s="403"/>
      <c r="VYI20" s="403"/>
      <c r="VYJ20" s="403"/>
      <c r="VYK20" s="403"/>
      <c r="VYL20" s="403"/>
      <c r="VYM20" s="403"/>
      <c r="VYN20" s="403"/>
      <c r="VYO20" s="403"/>
      <c r="VYP20" s="403"/>
      <c r="VYQ20" s="403"/>
      <c r="VYR20" s="403"/>
      <c r="VYS20" s="403"/>
      <c r="VYT20" s="403"/>
      <c r="VYU20" s="403"/>
      <c r="VYV20" s="403"/>
      <c r="VYW20" s="403"/>
      <c r="VYX20" s="403"/>
      <c r="VYY20" s="403"/>
      <c r="VYZ20" s="403"/>
      <c r="VZA20" s="403"/>
      <c r="VZB20" s="403"/>
      <c r="VZC20" s="403"/>
      <c r="VZD20" s="403"/>
      <c r="VZE20" s="403" t="s">
        <v>99</v>
      </c>
      <c r="VZF20" s="403"/>
      <c r="VZG20" s="403"/>
      <c r="VZH20" s="403"/>
      <c r="VZI20" s="403"/>
      <c r="VZJ20" s="403"/>
      <c r="VZK20" s="403"/>
      <c r="VZL20" s="403"/>
      <c r="VZM20" s="403"/>
      <c r="VZN20" s="403"/>
      <c r="VZO20" s="403"/>
      <c r="VZP20" s="403"/>
      <c r="VZQ20" s="403"/>
      <c r="VZR20" s="403"/>
      <c r="VZS20" s="403"/>
      <c r="VZT20" s="403"/>
      <c r="VZU20" s="403"/>
      <c r="VZV20" s="403"/>
      <c r="VZW20" s="403"/>
      <c r="VZX20" s="403"/>
      <c r="VZY20" s="403"/>
      <c r="VZZ20" s="403"/>
      <c r="WAA20" s="403"/>
      <c r="WAB20" s="403"/>
      <c r="WAC20" s="403"/>
      <c r="WAD20" s="403"/>
      <c r="WAE20" s="403"/>
      <c r="WAF20" s="403"/>
      <c r="WAG20" s="403"/>
      <c r="WAH20" s="403"/>
      <c r="WAI20" s="403"/>
      <c r="WAJ20" s="403"/>
      <c r="WAK20" s="403" t="s">
        <v>99</v>
      </c>
      <c r="WAL20" s="403"/>
      <c r="WAM20" s="403"/>
      <c r="WAN20" s="403"/>
      <c r="WAO20" s="403"/>
      <c r="WAP20" s="403"/>
      <c r="WAQ20" s="403"/>
      <c r="WAR20" s="403"/>
      <c r="WAS20" s="403"/>
      <c r="WAT20" s="403"/>
      <c r="WAU20" s="403"/>
      <c r="WAV20" s="403"/>
      <c r="WAW20" s="403"/>
      <c r="WAX20" s="403"/>
      <c r="WAY20" s="403"/>
      <c r="WAZ20" s="403"/>
      <c r="WBA20" s="403"/>
      <c r="WBB20" s="403"/>
      <c r="WBC20" s="403"/>
      <c r="WBD20" s="403"/>
      <c r="WBE20" s="403"/>
      <c r="WBF20" s="403"/>
      <c r="WBG20" s="403"/>
      <c r="WBH20" s="403"/>
      <c r="WBI20" s="403"/>
      <c r="WBJ20" s="403"/>
      <c r="WBK20" s="403"/>
      <c r="WBL20" s="403"/>
      <c r="WBM20" s="403"/>
      <c r="WBN20" s="403"/>
      <c r="WBO20" s="403"/>
      <c r="WBP20" s="403"/>
      <c r="WBQ20" s="403" t="s">
        <v>99</v>
      </c>
      <c r="WBR20" s="403"/>
      <c r="WBS20" s="403"/>
      <c r="WBT20" s="403"/>
      <c r="WBU20" s="403"/>
      <c r="WBV20" s="403"/>
      <c r="WBW20" s="403"/>
      <c r="WBX20" s="403"/>
      <c r="WBY20" s="403"/>
      <c r="WBZ20" s="403"/>
      <c r="WCA20" s="403"/>
      <c r="WCB20" s="403"/>
      <c r="WCC20" s="403"/>
      <c r="WCD20" s="403"/>
      <c r="WCE20" s="403"/>
      <c r="WCF20" s="403"/>
      <c r="WCG20" s="403"/>
      <c r="WCH20" s="403"/>
      <c r="WCI20" s="403"/>
      <c r="WCJ20" s="403"/>
      <c r="WCK20" s="403"/>
      <c r="WCL20" s="403"/>
      <c r="WCM20" s="403"/>
      <c r="WCN20" s="403"/>
      <c r="WCO20" s="403"/>
      <c r="WCP20" s="403"/>
      <c r="WCQ20" s="403"/>
      <c r="WCR20" s="403"/>
      <c r="WCS20" s="403"/>
      <c r="WCT20" s="403"/>
      <c r="WCU20" s="403"/>
      <c r="WCV20" s="403"/>
      <c r="WCW20" s="403" t="s">
        <v>99</v>
      </c>
      <c r="WCX20" s="403"/>
      <c r="WCY20" s="403"/>
      <c r="WCZ20" s="403"/>
      <c r="WDA20" s="403"/>
      <c r="WDB20" s="403"/>
      <c r="WDC20" s="403"/>
      <c r="WDD20" s="403"/>
      <c r="WDE20" s="403"/>
      <c r="WDF20" s="403"/>
      <c r="WDG20" s="403"/>
      <c r="WDH20" s="403"/>
      <c r="WDI20" s="403"/>
      <c r="WDJ20" s="403"/>
      <c r="WDK20" s="403"/>
      <c r="WDL20" s="403"/>
      <c r="WDM20" s="403"/>
      <c r="WDN20" s="403"/>
      <c r="WDO20" s="403"/>
      <c r="WDP20" s="403"/>
      <c r="WDQ20" s="403"/>
      <c r="WDR20" s="403"/>
      <c r="WDS20" s="403"/>
      <c r="WDT20" s="403"/>
      <c r="WDU20" s="403"/>
      <c r="WDV20" s="403"/>
      <c r="WDW20" s="403"/>
      <c r="WDX20" s="403"/>
      <c r="WDY20" s="403"/>
      <c r="WDZ20" s="403"/>
      <c r="WEA20" s="403"/>
      <c r="WEB20" s="403"/>
      <c r="WEC20" s="403" t="s">
        <v>99</v>
      </c>
      <c r="WED20" s="403"/>
      <c r="WEE20" s="403"/>
      <c r="WEF20" s="403"/>
      <c r="WEG20" s="403"/>
      <c r="WEH20" s="403"/>
      <c r="WEI20" s="403"/>
      <c r="WEJ20" s="403"/>
      <c r="WEK20" s="403"/>
      <c r="WEL20" s="403"/>
      <c r="WEM20" s="403"/>
      <c r="WEN20" s="403"/>
      <c r="WEO20" s="403"/>
      <c r="WEP20" s="403"/>
      <c r="WEQ20" s="403"/>
      <c r="WER20" s="403"/>
      <c r="WES20" s="403"/>
      <c r="WET20" s="403"/>
      <c r="WEU20" s="403"/>
      <c r="WEV20" s="403"/>
      <c r="WEW20" s="403"/>
      <c r="WEX20" s="403"/>
      <c r="WEY20" s="403"/>
      <c r="WEZ20" s="403"/>
      <c r="WFA20" s="403"/>
      <c r="WFB20" s="403"/>
      <c r="WFC20" s="403"/>
      <c r="WFD20" s="403"/>
      <c r="WFE20" s="403"/>
      <c r="WFF20" s="403"/>
      <c r="WFG20" s="403"/>
      <c r="WFH20" s="403"/>
      <c r="WFI20" s="403" t="s">
        <v>99</v>
      </c>
      <c r="WFJ20" s="403"/>
      <c r="WFK20" s="403"/>
      <c r="WFL20" s="403"/>
      <c r="WFM20" s="403"/>
      <c r="WFN20" s="403"/>
      <c r="WFO20" s="403"/>
      <c r="WFP20" s="403"/>
      <c r="WFQ20" s="403"/>
      <c r="WFR20" s="403"/>
      <c r="WFS20" s="403"/>
      <c r="WFT20" s="403"/>
      <c r="WFU20" s="403"/>
      <c r="WFV20" s="403"/>
      <c r="WFW20" s="403"/>
      <c r="WFX20" s="403"/>
      <c r="WFY20" s="403"/>
      <c r="WFZ20" s="403"/>
      <c r="WGA20" s="403"/>
      <c r="WGB20" s="403"/>
      <c r="WGC20" s="403"/>
      <c r="WGD20" s="403"/>
      <c r="WGE20" s="403"/>
      <c r="WGF20" s="403"/>
      <c r="WGG20" s="403"/>
      <c r="WGH20" s="403"/>
      <c r="WGI20" s="403"/>
      <c r="WGJ20" s="403"/>
      <c r="WGK20" s="403"/>
      <c r="WGL20" s="403"/>
      <c r="WGM20" s="403"/>
      <c r="WGN20" s="403"/>
      <c r="WGO20" s="403" t="s">
        <v>99</v>
      </c>
      <c r="WGP20" s="403"/>
      <c r="WGQ20" s="403"/>
      <c r="WGR20" s="403"/>
      <c r="WGS20" s="403"/>
      <c r="WGT20" s="403"/>
      <c r="WGU20" s="403"/>
      <c r="WGV20" s="403"/>
      <c r="WGW20" s="403"/>
      <c r="WGX20" s="403"/>
      <c r="WGY20" s="403"/>
      <c r="WGZ20" s="403"/>
      <c r="WHA20" s="403"/>
      <c r="WHB20" s="403"/>
      <c r="WHC20" s="403"/>
      <c r="WHD20" s="403"/>
      <c r="WHE20" s="403"/>
      <c r="WHF20" s="403"/>
      <c r="WHG20" s="403"/>
      <c r="WHH20" s="403"/>
      <c r="WHI20" s="403"/>
      <c r="WHJ20" s="403"/>
      <c r="WHK20" s="403"/>
      <c r="WHL20" s="403"/>
      <c r="WHM20" s="403"/>
      <c r="WHN20" s="403"/>
      <c r="WHO20" s="403"/>
      <c r="WHP20" s="403"/>
      <c r="WHQ20" s="403"/>
      <c r="WHR20" s="403"/>
      <c r="WHS20" s="403"/>
      <c r="WHT20" s="403"/>
      <c r="WHU20" s="403" t="s">
        <v>99</v>
      </c>
      <c r="WHV20" s="403"/>
      <c r="WHW20" s="403"/>
      <c r="WHX20" s="403"/>
      <c r="WHY20" s="403"/>
      <c r="WHZ20" s="403"/>
      <c r="WIA20" s="403"/>
      <c r="WIB20" s="403"/>
      <c r="WIC20" s="403"/>
      <c r="WID20" s="403"/>
      <c r="WIE20" s="403"/>
      <c r="WIF20" s="403"/>
      <c r="WIG20" s="403"/>
      <c r="WIH20" s="403"/>
      <c r="WII20" s="403"/>
      <c r="WIJ20" s="403"/>
      <c r="WIK20" s="403"/>
      <c r="WIL20" s="403"/>
      <c r="WIM20" s="403"/>
      <c r="WIN20" s="403"/>
      <c r="WIO20" s="403"/>
      <c r="WIP20" s="403"/>
      <c r="WIQ20" s="403"/>
      <c r="WIR20" s="403"/>
      <c r="WIS20" s="403"/>
      <c r="WIT20" s="403"/>
      <c r="WIU20" s="403"/>
      <c r="WIV20" s="403"/>
      <c r="WIW20" s="403"/>
      <c r="WIX20" s="403"/>
      <c r="WIY20" s="403"/>
      <c r="WIZ20" s="403"/>
      <c r="WJA20" s="403" t="s">
        <v>99</v>
      </c>
      <c r="WJB20" s="403"/>
      <c r="WJC20" s="403"/>
      <c r="WJD20" s="403"/>
      <c r="WJE20" s="403"/>
      <c r="WJF20" s="403"/>
      <c r="WJG20" s="403"/>
      <c r="WJH20" s="403"/>
      <c r="WJI20" s="403"/>
      <c r="WJJ20" s="403"/>
      <c r="WJK20" s="403"/>
      <c r="WJL20" s="403"/>
      <c r="WJM20" s="403"/>
      <c r="WJN20" s="403"/>
      <c r="WJO20" s="403"/>
      <c r="WJP20" s="403"/>
      <c r="WJQ20" s="403"/>
      <c r="WJR20" s="403"/>
      <c r="WJS20" s="403"/>
      <c r="WJT20" s="403"/>
      <c r="WJU20" s="403"/>
      <c r="WJV20" s="403"/>
      <c r="WJW20" s="403"/>
      <c r="WJX20" s="403"/>
      <c r="WJY20" s="403"/>
      <c r="WJZ20" s="403"/>
      <c r="WKA20" s="403"/>
      <c r="WKB20" s="403"/>
      <c r="WKC20" s="403"/>
      <c r="WKD20" s="403"/>
      <c r="WKE20" s="403"/>
      <c r="WKF20" s="403"/>
      <c r="WKG20" s="403" t="s">
        <v>99</v>
      </c>
      <c r="WKH20" s="403"/>
      <c r="WKI20" s="403"/>
      <c r="WKJ20" s="403"/>
      <c r="WKK20" s="403"/>
      <c r="WKL20" s="403"/>
      <c r="WKM20" s="403"/>
      <c r="WKN20" s="403"/>
      <c r="WKO20" s="403"/>
      <c r="WKP20" s="403"/>
      <c r="WKQ20" s="403"/>
      <c r="WKR20" s="403"/>
      <c r="WKS20" s="403"/>
      <c r="WKT20" s="403"/>
      <c r="WKU20" s="403"/>
      <c r="WKV20" s="403"/>
      <c r="WKW20" s="403"/>
      <c r="WKX20" s="403"/>
      <c r="WKY20" s="403"/>
      <c r="WKZ20" s="403"/>
      <c r="WLA20" s="403"/>
      <c r="WLB20" s="403"/>
      <c r="WLC20" s="403"/>
      <c r="WLD20" s="403"/>
      <c r="WLE20" s="403"/>
      <c r="WLF20" s="403"/>
      <c r="WLG20" s="403"/>
      <c r="WLH20" s="403"/>
      <c r="WLI20" s="403"/>
      <c r="WLJ20" s="403"/>
      <c r="WLK20" s="403"/>
      <c r="WLL20" s="403"/>
      <c r="WLM20" s="403" t="s">
        <v>99</v>
      </c>
      <c r="WLN20" s="403"/>
      <c r="WLO20" s="403"/>
      <c r="WLP20" s="403"/>
      <c r="WLQ20" s="403"/>
      <c r="WLR20" s="403"/>
      <c r="WLS20" s="403"/>
      <c r="WLT20" s="403"/>
      <c r="WLU20" s="403"/>
      <c r="WLV20" s="403"/>
      <c r="WLW20" s="403"/>
      <c r="WLX20" s="403"/>
      <c r="WLY20" s="403"/>
      <c r="WLZ20" s="403"/>
      <c r="WMA20" s="403"/>
      <c r="WMB20" s="403"/>
      <c r="WMC20" s="403"/>
      <c r="WMD20" s="403"/>
      <c r="WME20" s="403"/>
      <c r="WMF20" s="403"/>
      <c r="WMG20" s="403"/>
      <c r="WMH20" s="403"/>
      <c r="WMI20" s="403"/>
      <c r="WMJ20" s="403"/>
      <c r="WMK20" s="403"/>
      <c r="WML20" s="403"/>
      <c r="WMM20" s="403"/>
      <c r="WMN20" s="403"/>
      <c r="WMO20" s="403"/>
      <c r="WMP20" s="403"/>
      <c r="WMQ20" s="403"/>
      <c r="WMR20" s="403"/>
      <c r="WMS20" s="403" t="s">
        <v>99</v>
      </c>
      <c r="WMT20" s="403"/>
      <c r="WMU20" s="403"/>
      <c r="WMV20" s="403"/>
      <c r="WMW20" s="403"/>
      <c r="WMX20" s="403"/>
      <c r="WMY20" s="403"/>
      <c r="WMZ20" s="403"/>
      <c r="WNA20" s="403"/>
      <c r="WNB20" s="403"/>
      <c r="WNC20" s="403"/>
      <c r="WND20" s="403"/>
      <c r="WNE20" s="403"/>
      <c r="WNF20" s="403"/>
      <c r="WNG20" s="403"/>
      <c r="WNH20" s="403"/>
      <c r="WNI20" s="403"/>
      <c r="WNJ20" s="403"/>
      <c r="WNK20" s="403"/>
      <c r="WNL20" s="403"/>
      <c r="WNM20" s="403"/>
      <c r="WNN20" s="403"/>
      <c r="WNO20" s="403"/>
      <c r="WNP20" s="403"/>
      <c r="WNQ20" s="403"/>
      <c r="WNR20" s="403"/>
      <c r="WNS20" s="403"/>
      <c r="WNT20" s="403"/>
      <c r="WNU20" s="403"/>
      <c r="WNV20" s="403"/>
      <c r="WNW20" s="403"/>
      <c r="WNX20" s="403"/>
      <c r="WNY20" s="403" t="s">
        <v>99</v>
      </c>
      <c r="WNZ20" s="403"/>
      <c r="WOA20" s="403"/>
      <c r="WOB20" s="403"/>
      <c r="WOC20" s="403"/>
      <c r="WOD20" s="403"/>
      <c r="WOE20" s="403"/>
      <c r="WOF20" s="403"/>
      <c r="WOG20" s="403"/>
      <c r="WOH20" s="403"/>
      <c r="WOI20" s="403"/>
      <c r="WOJ20" s="403"/>
      <c r="WOK20" s="403"/>
      <c r="WOL20" s="403"/>
      <c r="WOM20" s="403"/>
      <c r="WON20" s="403"/>
      <c r="WOO20" s="403"/>
      <c r="WOP20" s="403"/>
      <c r="WOQ20" s="403"/>
      <c r="WOR20" s="403"/>
      <c r="WOS20" s="403"/>
      <c r="WOT20" s="403"/>
      <c r="WOU20" s="403"/>
      <c r="WOV20" s="403"/>
      <c r="WOW20" s="403"/>
      <c r="WOX20" s="403"/>
      <c r="WOY20" s="403"/>
      <c r="WOZ20" s="403"/>
      <c r="WPA20" s="403"/>
      <c r="WPB20" s="403"/>
      <c r="WPC20" s="403"/>
      <c r="WPD20" s="403"/>
      <c r="WPE20" s="403" t="s">
        <v>99</v>
      </c>
      <c r="WPF20" s="403"/>
      <c r="WPG20" s="403"/>
      <c r="WPH20" s="403"/>
      <c r="WPI20" s="403"/>
      <c r="WPJ20" s="403"/>
      <c r="WPK20" s="403"/>
      <c r="WPL20" s="403"/>
      <c r="WPM20" s="403"/>
      <c r="WPN20" s="403"/>
      <c r="WPO20" s="403"/>
      <c r="WPP20" s="403"/>
      <c r="WPQ20" s="403"/>
      <c r="WPR20" s="403"/>
      <c r="WPS20" s="403"/>
      <c r="WPT20" s="403"/>
      <c r="WPU20" s="403"/>
      <c r="WPV20" s="403"/>
      <c r="WPW20" s="403"/>
      <c r="WPX20" s="403"/>
      <c r="WPY20" s="403"/>
      <c r="WPZ20" s="403"/>
      <c r="WQA20" s="403"/>
      <c r="WQB20" s="403"/>
      <c r="WQC20" s="403"/>
      <c r="WQD20" s="403"/>
      <c r="WQE20" s="403"/>
      <c r="WQF20" s="403"/>
      <c r="WQG20" s="403"/>
      <c r="WQH20" s="403"/>
      <c r="WQI20" s="403"/>
      <c r="WQJ20" s="403"/>
      <c r="WQK20" s="403" t="s">
        <v>99</v>
      </c>
      <c r="WQL20" s="403"/>
      <c r="WQM20" s="403"/>
      <c r="WQN20" s="403"/>
      <c r="WQO20" s="403"/>
      <c r="WQP20" s="403"/>
      <c r="WQQ20" s="403"/>
      <c r="WQR20" s="403"/>
      <c r="WQS20" s="403"/>
      <c r="WQT20" s="403"/>
      <c r="WQU20" s="403"/>
      <c r="WQV20" s="403"/>
      <c r="WQW20" s="403"/>
      <c r="WQX20" s="403"/>
      <c r="WQY20" s="403"/>
      <c r="WQZ20" s="403"/>
      <c r="WRA20" s="403"/>
      <c r="WRB20" s="403"/>
      <c r="WRC20" s="403"/>
      <c r="WRD20" s="403"/>
      <c r="WRE20" s="403"/>
      <c r="WRF20" s="403"/>
      <c r="WRG20" s="403"/>
      <c r="WRH20" s="403"/>
      <c r="WRI20" s="403"/>
      <c r="WRJ20" s="403"/>
      <c r="WRK20" s="403"/>
      <c r="WRL20" s="403"/>
      <c r="WRM20" s="403"/>
      <c r="WRN20" s="403"/>
      <c r="WRO20" s="403"/>
      <c r="WRP20" s="403"/>
      <c r="WRQ20" s="403" t="s">
        <v>99</v>
      </c>
      <c r="WRR20" s="403"/>
      <c r="WRS20" s="403"/>
      <c r="WRT20" s="403"/>
      <c r="WRU20" s="403"/>
      <c r="WRV20" s="403"/>
      <c r="WRW20" s="403"/>
      <c r="WRX20" s="403"/>
      <c r="WRY20" s="403"/>
      <c r="WRZ20" s="403"/>
      <c r="WSA20" s="403"/>
      <c r="WSB20" s="403"/>
      <c r="WSC20" s="403"/>
      <c r="WSD20" s="403"/>
      <c r="WSE20" s="403"/>
      <c r="WSF20" s="403"/>
      <c r="WSG20" s="403"/>
      <c r="WSH20" s="403"/>
      <c r="WSI20" s="403"/>
      <c r="WSJ20" s="403"/>
      <c r="WSK20" s="403"/>
      <c r="WSL20" s="403"/>
      <c r="WSM20" s="403"/>
      <c r="WSN20" s="403"/>
      <c r="WSO20" s="403"/>
      <c r="WSP20" s="403"/>
      <c r="WSQ20" s="403"/>
      <c r="WSR20" s="403"/>
      <c r="WSS20" s="403"/>
      <c r="WST20" s="403"/>
      <c r="WSU20" s="403"/>
      <c r="WSV20" s="403"/>
      <c r="WSW20" s="403" t="s">
        <v>99</v>
      </c>
      <c r="WSX20" s="403"/>
      <c r="WSY20" s="403"/>
      <c r="WSZ20" s="403"/>
      <c r="WTA20" s="403"/>
      <c r="WTB20" s="403"/>
      <c r="WTC20" s="403"/>
      <c r="WTD20" s="403"/>
      <c r="WTE20" s="403"/>
      <c r="WTF20" s="403"/>
      <c r="WTG20" s="403"/>
      <c r="WTH20" s="403"/>
      <c r="WTI20" s="403"/>
      <c r="WTJ20" s="403"/>
      <c r="WTK20" s="403"/>
      <c r="WTL20" s="403"/>
      <c r="WTM20" s="403"/>
      <c r="WTN20" s="403"/>
      <c r="WTO20" s="403"/>
      <c r="WTP20" s="403"/>
      <c r="WTQ20" s="403"/>
      <c r="WTR20" s="403"/>
      <c r="WTS20" s="403"/>
      <c r="WTT20" s="403"/>
      <c r="WTU20" s="403"/>
      <c r="WTV20" s="403"/>
      <c r="WTW20" s="403"/>
      <c r="WTX20" s="403"/>
      <c r="WTY20" s="403"/>
      <c r="WTZ20" s="403"/>
      <c r="WUA20" s="403"/>
      <c r="WUB20" s="403"/>
      <c r="WUC20" s="403" t="s">
        <v>99</v>
      </c>
      <c r="WUD20" s="403"/>
      <c r="WUE20" s="403"/>
      <c r="WUF20" s="403"/>
      <c r="WUG20" s="403"/>
      <c r="WUH20" s="403"/>
      <c r="WUI20" s="403"/>
      <c r="WUJ20" s="403"/>
      <c r="WUK20" s="403"/>
      <c r="WUL20" s="403"/>
      <c r="WUM20" s="403"/>
      <c r="WUN20" s="403"/>
      <c r="WUO20" s="403"/>
      <c r="WUP20" s="403"/>
      <c r="WUQ20" s="403"/>
      <c r="WUR20" s="403"/>
      <c r="WUS20" s="403"/>
      <c r="WUT20" s="403"/>
      <c r="WUU20" s="403"/>
      <c r="WUV20" s="403"/>
      <c r="WUW20" s="403"/>
      <c r="WUX20" s="403"/>
      <c r="WUY20" s="403"/>
      <c r="WUZ20" s="403"/>
      <c r="WVA20" s="403"/>
      <c r="WVB20" s="403"/>
      <c r="WVC20" s="403"/>
      <c r="WVD20" s="403"/>
      <c r="WVE20" s="403"/>
      <c r="WVF20" s="403"/>
      <c r="WVG20" s="403"/>
      <c r="WVH20" s="403"/>
      <c r="WVI20" s="403" t="s">
        <v>99</v>
      </c>
      <c r="WVJ20" s="403"/>
      <c r="WVK20" s="403"/>
      <c r="WVL20" s="403"/>
      <c r="WVM20" s="403"/>
      <c r="WVN20" s="403"/>
      <c r="WVO20" s="403"/>
      <c r="WVP20" s="403"/>
      <c r="WVQ20" s="403"/>
      <c r="WVR20" s="403"/>
      <c r="WVS20" s="403"/>
      <c r="WVT20" s="403"/>
      <c r="WVU20" s="403"/>
      <c r="WVV20" s="403"/>
      <c r="WVW20" s="403"/>
      <c r="WVX20" s="403"/>
      <c r="WVY20" s="403"/>
      <c r="WVZ20" s="403"/>
      <c r="WWA20" s="403"/>
      <c r="WWB20" s="403"/>
      <c r="WWC20" s="403"/>
      <c r="WWD20" s="403"/>
      <c r="WWE20" s="403"/>
      <c r="WWF20" s="403"/>
      <c r="WWG20" s="403"/>
      <c r="WWH20" s="403"/>
      <c r="WWI20" s="403"/>
      <c r="WWJ20" s="403"/>
      <c r="WWK20" s="403"/>
      <c r="WWL20" s="403"/>
      <c r="WWM20" s="403"/>
      <c r="WWN20" s="403"/>
      <c r="WWO20" s="403" t="s">
        <v>99</v>
      </c>
      <c r="WWP20" s="403"/>
      <c r="WWQ20" s="403"/>
      <c r="WWR20" s="403"/>
      <c r="WWS20" s="403"/>
      <c r="WWT20" s="403"/>
      <c r="WWU20" s="403"/>
      <c r="WWV20" s="403"/>
      <c r="WWW20" s="403"/>
      <c r="WWX20" s="403"/>
      <c r="WWY20" s="403"/>
      <c r="WWZ20" s="403"/>
      <c r="WXA20" s="403"/>
      <c r="WXB20" s="403"/>
      <c r="WXC20" s="403"/>
      <c r="WXD20" s="403"/>
      <c r="WXE20" s="403"/>
      <c r="WXF20" s="403"/>
      <c r="WXG20" s="403"/>
      <c r="WXH20" s="403"/>
      <c r="WXI20" s="403"/>
      <c r="WXJ20" s="403"/>
      <c r="WXK20" s="403"/>
      <c r="WXL20" s="403"/>
      <c r="WXM20" s="403"/>
      <c r="WXN20" s="403"/>
      <c r="WXO20" s="403"/>
      <c r="WXP20" s="403"/>
      <c r="WXQ20" s="403"/>
      <c r="WXR20" s="403"/>
      <c r="WXS20" s="403"/>
      <c r="WXT20" s="403"/>
      <c r="WXU20" s="403" t="s">
        <v>99</v>
      </c>
      <c r="WXV20" s="403"/>
      <c r="WXW20" s="403"/>
      <c r="WXX20" s="403"/>
      <c r="WXY20" s="403"/>
      <c r="WXZ20" s="403"/>
      <c r="WYA20" s="403"/>
      <c r="WYB20" s="403"/>
      <c r="WYC20" s="403"/>
      <c r="WYD20" s="403"/>
      <c r="WYE20" s="403"/>
      <c r="WYF20" s="403"/>
      <c r="WYG20" s="403"/>
      <c r="WYH20" s="403"/>
      <c r="WYI20" s="403"/>
      <c r="WYJ20" s="403"/>
      <c r="WYK20" s="403"/>
      <c r="WYL20" s="403"/>
      <c r="WYM20" s="403"/>
      <c r="WYN20" s="403"/>
      <c r="WYO20" s="403"/>
      <c r="WYP20" s="403"/>
      <c r="WYQ20" s="403"/>
      <c r="WYR20" s="403"/>
      <c r="WYS20" s="403"/>
      <c r="WYT20" s="403"/>
      <c r="WYU20" s="403"/>
      <c r="WYV20" s="403"/>
      <c r="WYW20" s="403"/>
      <c r="WYX20" s="403"/>
      <c r="WYY20" s="403"/>
      <c r="WYZ20" s="403"/>
      <c r="WZA20" s="403" t="s">
        <v>99</v>
      </c>
      <c r="WZB20" s="403"/>
      <c r="WZC20" s="403"/>
      <c r="WZD20" s="403"/>
      <c r="WZE20" s="403"/>
      <c r="WZF20" s="403"/>
      <c r="WZG20" s="403"/>
      <c r="WZH20" s="403"/>
      <c r="WZI20" s="403"/>
      <c r="WZJ20" s="403"/>
      <c r="WZK20" s="403"/>
      <c r="WZL20" s="403"/>
      <c r="WZM20" s="403"/>
      <c r="WZN20" s="403"/>
      <c r="WZO20" s="403"/>
      <c r="WZP20" s="403"/>
      <c r="WZQ20" s="403"/>
      <c r="WZR20" s="403"/>
      <c r="WZS20" s="403"/>
      <c r="WZT20" s="403"/>
      <c r="WZU20" s="403"/>
      <c r="WZV20" s="403"/>
      <c r="WZW20" s="403"/>
      <c r="WZX20" s="403"/>
      <c r="WZY20" s="403"/>
      <c r="WZZ20" s="403"/>
      <c r="XAA20" s="403"/>
      <c r="XAB20" s="403"/>
      <c r="XAC20" s="403"/>
      <c r="XAD20" s="403"/>
      <c r="XAE20" s="403"/>
      <c r="XAF20" s="403"/>
      <c r="XAG20" s="403" t="s">
        <v>99</v>
      </c>
      <c r="XAH20" s="403"/>
      <c r="XAI20" s="403"/>
      <c r="XAJ20" s="403"/>
      <c r="XAK20" s="403"/>
      <c r="XAL20" s="403"/>
      <c r="XAM20" s="403"/>
      <c r="XAN20" s="403"/>
      <c r="XAO20" s="403"/>
      <c r="XAP20" s="403"/>
      <c r="XAQ20" s="403"/>
      <c r="XAR20" s="403"/>
      <c r="XAS20" s="403"/>
      <c r="XAT20" s="403"/>
      <c r="XAU20" s="403"/>
      <c r="XAV20" s="403"/>
      <c r="XAW20" s="403"/>
      <c r="XAX20" s="403"/>
      <c r="XAY20" s="403"/>
      <c r="XAZ20" s="403"/>
      <c r="XBA20" s="403"/>
      <c r="XBB20" s="403"/>
      <c r="XBC20" s="403"/>
      <c r="XBD20" s="403"/>
      <c r="XBE20" s="403"/>
      <c r="XBF20" s="403"/>
      <c r="XBG20" s="403"/>
      <c r="XBH20" s="403"/>
      <c r="XBI20" s="403"/>
      <c r="XBJ20" s="403"/>
      <c r="XBK20" s="403"/>
      <c r="XBL20" s="403"/>
      <c r="XBM20" s="403" t="s">
        <v>99</v>
      </c>
      <c r="XBN20" s="403"/>
      <c r="XBO20" s="403"/>
      <c r="XBP20" s="403"/>
      <c r="XBQ20" s="403"/>
      <c r="XBR20" s="403"/>
      <c r="XBS20" s="403"/>
      <c r="XBT20" s="403"/>
      <c r="XBU20" s="403"/>
      <c r="XBV20" s="403"/>
      <c r="XBW20" s="403"/>
      <c r="XBX20" s="403"/>
      <c r="XBY20" s="403"/>
      <c r="XBZ20" s="403"/>
      <c r="XCA20" s="403"/>
      <c r="XCB20" s="403"/>
      <c r="XCC20" s="403"/>
      <c r="XCD20" s="403"/>
      <c r="XCE20" s="403"/>
      <c r="XCF20" s="403"/>
      <c r="XCG20" s="403"/>
      <c r="XCH20" s="403"/>
      <c r="XCI20" s="403"/>
      <c r="XCJ20" s="403"/>
      <c r="XCK20" s="403"/>
      <c r="XCL20" s="403"/>
      <c r="XCM20" s="403"/>
      <c r="XCN20" s="403"/>
      <c r="XCO20" s="403"/>
      <c r="XCP20" s="403"/>
      <c r="XCQ20" s="403"/>
      <c r="XCR20" s="403"/>
      <c r="XCS20" s="403" t="s">
        <v>99</v>
      </c>
      <c r="XCT20" s="403"/>
      <c r="XCU20" s="403"/>
      <c r="XCV20" s="403"/>
      <c r="XCW20" s="403"/>
      <c r="XCX20" s="403"/>
      <c r="XCY20" s="403"/>
      <c r="XCZ20" s="403"/>
      <c r="XDA20" s="403"/>
      <c r="XDB20" s="403"/>
      <c r="XDC20" s="403"/>
      <c r="XDD20" s="403"/>
      <c r="XDE20" s="403"/>
      <c r="XDF20" s="403"/>
      <c r="XDG20" s="403"/>
      <c r="XDH20" s="403"/>
      <c r="XDI20" s="403"/>
      <c r="XDJ20" s="403"/>
      <c r="XDK20" s="403"/>
      <c r="XDL20" s="403"/>
      <c r="XDM20" s="403"/>
      <c r="XDN20" s="403"/>
      <c r="XDO20" s="403"/>
      <c r="XDP20" s="403"/>
      <c r="XDQ20" s="403"/>
      <c r="XDR20" s="403"/>
      <c r="XDS20" s="403"/>
      <c r="XDT20" s="403"/>
      <c r="XDU20" s="403"/>
      <c r="XDV20" s="403"/>
      <c r="XDW20" s="403"/>
      <c r="XDX20" s="403"/>
      <c r="XDY20" s="403" t="s">
        <v>99</v>
      </c>
      <c r="XDZ20" s="403"/>
      <c r="XEA20" s="403"/>
      <c r="XEB20" s="403"/>
      <c r="XEC20" s="403"/>
      <c r="XED20" s="403"/>
      <c r="XEE20" s="403"/>
      <c r="XEF20" s="403"/>
      <c r="XEG20" s="403"/>
      <c r="XEH20" s="403"/>
      <c r="XEI20" s="403"/>
      <c r="XEJ20" s="403"/>
      <c r="XEK20" s="403"/>
      <c r="XEL20" s="403"/>
      <c r="XEM20" s="403"/>
      <c r="XEN20" s="403"/>
      <c r="XEO20" s="403"/>
      <c r="XEP20" s="403"/>
      <c r="XEQ20" s="403"/>
      <c r="XER20" s="403"/>
      <c r="XES20" s="403"/>
      <c r="XET20" s="403"/>
      <c r="XEU20" s="403"/>
      <c r="XEV20" s="403"/>
      <c r="XEW20" s="403"/>
      <c r="XEX20" s="403"/>
      <c r="XEY20" s="403"/>
      <c r="XEZ20" s="403"/>
      <c r="XFA20" s="403"/>
      <c r="XFB20" s="403"/>
      <c r="XFC20" s="403"/>
      <c r="XFD20" s="403"/>
    </row>
    <row r="21" spans="1:16384" s="11" customFormat="1" ht="14.25" customHeight="1" x14ac:dyDescent="0.3">
      <c r="A21" s="15"/>
      <c r="B21" s="16"/>
      <c r="C21" s="16"/>
      <c r="D21" s="16"/>
      <c r="E21" s="16"/>
      <c r="F21" s="16"/>
      <c r="G21" s="16"/>
      <c r="H21" s="16"/>
      <c r="I21" s="16"/>
      <c r="J21" s="16"/>
      <c r="K21" s="16"/>
      <c r="L21" s="16"/>
      <c r="M21" s="16"/>
      <c r="N21" s="16"/>
      <c r="O21" s="16"/>
      <c r="P21" s="16"/>
      <c r="Q21" s="16"/>
      <c r="R21" s="16"/>
      <c r="S21" s="16"/>
    </row>
    <row r="22" spans="1:16384" s="11" customFormat="1" ht="23.4" x14ac:dyDescent="0.3">
      <c r="A22" s="268" t="s">
        <v>100</v>
      </c>
      <c r="B22" s="18"/>
      <c r="C22" s="18"/>
      <c r="D22" s="18"/>
      <c r="E22" s="18"/>
      <c r="F22" s="18"/>
      <c r="G22" s="18"/>
      <c r="H22" s="18"/>
      <c r="I22" s="18"/>
      <c r="J22" s="18"/>
      <c r="K22" s="16"/>
      <c r="L22" s="16"/>
      <c r="M22" s="16"/>
      <c r="N22" s="16"/>
      <c r="O22" s="16"/>
      <c r="P22" s="16"/>
      <c r="Q22" s="16"/>
      <c r="R22" s="16"/>
      <c r="S22" s="16"/>
    </row>
    <row r="23" spans="1:16384" s="11" customFormat="1" ht="23.4" x14ac:dyDescent="0.3">
      <c r="A23" s="268"/>
      <c r="B23" s="18"/>
      <c r="C23" s="18"/>
      <c r="D23" s="18"/>
      <c r="E23" s="18"/>
      <c r="F23" s="18"/>
      <c r="G23" s="18"/>
      <c r="H23" s="18"/>
      <c r="I23" s="18"/>
      <c r="J23" s="18"/>
      <c r="K23" s="16"/>
      <c r="L23" s="16"/>
      <c r="M23" s="16"/>
      <c r="N23" s="16"/>
      <c r="O23" s="16"/>
      <c r="P23" s="16"/>
      <c r="Q23" s="16"/>
      <c r="R23" s="16"/>
      <c r="S23" s="16"/>
    </row>
    <row r="24" spans="1:16384" s="45" customFormat="1" ht="46.8" x14ac:dyDescent="0.3">
      <c r="A24" s="44" t="s">
        <v>33</v>
      </c>
      <c r="B24" s="55" t="s">
        <v>101</v>
      </c>
      <c r="C24" s="55" t="s">
        <v>102</v>
      </c>
      <c r="D24" s="55" t="s">
        <v>103</v>
      </c>
      <c r="E24" s="55" t="s">
        <v>104</v>
      </c>
      <c r="F24" s="55" t="s">
        <v>105</v>
      </c>
      <c r="G24" s="55" t="s">
        <v>106</v>
      </c>
      <c r="H24" s="55" t="s">
        <v>107</v>
      </c>
      <c r="I24" s="55" t="s">
        <v>108</v>
      </c>
      <c r="J24" s="20"/>
      <c r="K24" s="21"/>
      <c r="L24" s="21"/>
      <c r="M24" s="21"/>
      <c r="N24" s="21"/>
      <c r="O24" s="21"/>
      <c r="P24" s="21"/>
      <c r="Q24" s="21"/>
      <c r="R24" s="21"/>
      <c r="S24" s="21"/>
      <c r="T24" s="21"/>
    </row>
    <row r="25" spans="1:16384" s="47" customFormat="1" ht="18" x14ac:dyDescent="0.3">
      <c r="A25" s="46"/>
      <c r="B25" s="56"/>
      <c r="C25" s="56" t="s">
        <v>109</v>
      </c>
      <c r="D25" s="56" t="s">
        <v>110</v>
      </c>
      <c r="E25" s="56" t="s">
        <v>48</v>
      </c>
      <c r="F25" s="272" t="s">
        <v>111</v>
      </c>
      <c r="G25" s="56"/>
      <c r="H25" s="56"/>
      <c r="I25" s="56"/>
      <c r="J25" s="20"/>
      <c r="K25" s="21"/>
      <c r="L25" s="21"/>
      <c r="M25" s="21"/>
      <c r="N25" s="21"/>
      <c r="O25" s="21"/>
      <c r="P25" s="21"/>
      <c r="Q25" s="21"/>
      <c r="R25" s="21"/>
      <c r="S25" s="21"/>
      <c r="T25" s="21"/>
    </row>
    <row r="26" spans="1:16384" s="49" customFormat="1" ht="1.2" customHeight="1" x14ac:dyDescent="0.3">
      <c r="A26" s="20"/>
      <c r="B26" s="305"/>
      <c r="C26" s="272"/>
      <c r="D26" s="272"/>
      <c r="E26" s="272"/>
      <c r="F26" s="306"/>
      <c r="G26" s="272"/>
      <c r="H26" s="307"/>
      <c r="I26" s="307"/>
      <c r="J26" s="20"/>
      <c r="K26" s="21"/>
      <c r="L26" s="21"/>
      <c r="M26" s="21"/>
      <c r="N26" s="21"/>
      <c r="O26" s="21"/>
      <c r="P26" s="21"/>
      <c r="Q26" s="21"/>
      <c r="R26" s="21"/>
      <c r="S26" s="21"/>
      <c r="T26" s="21"/>
    </row>
    <row r="27" spans="1:16384" s="21" customFormat="1" ht="14.25" customHeight="1" x14ac:dyDescent="0.3">
      <c r="A27" s="236" t="str">
        <f>'Dropdown lists'!A3</f>
        <v>E-boiler</v>
      </c>
      <c r="B27" s="308">
        <v>1</v>
      </c>
      <c r="C27" s="309">
        <v>0.9</v>
      </c>
      <c r="D27" s="310">
        <v>8000</v>
      </c>
      <c r="E27" s="290">
        <v>15</v>
      </c>
      <c r="F27" s="311">
        <v>305</v>
      </c>
      <c r="G27" s="292">
        <v>0.99</v>
      </c>
      <c r="H27" s="312"/>
      <c r="I27" s="312"/>
      <c r="J27" s="20"/>
    </row>
    <row r="28" spans="1:16384" s="21" customFormat="1" ht="14.25" customHeight="1" x14ac:dyDescent="0.3">
      <c r="A28" s="236" t="str">
        <f>'Dropdown lists'!A4</f>
        <v>Warmtepomp</v>
      </c>
      <c r="B28" s="308">
        <v>2</v>
      </c>
      <c r="C28" s="309">
        <v>1</v>
      </c>
      <c r="D28" s="310">
        <v>8000</v>
      </c>
      <c r="E28" s="290">
        <v>15</v>
      </c>
      <c r="F28" s="311">
        <v>1096.2985985662899</v>
      </c>
      <c r="G28" s="312" t="s">
        <v>16</v>
      </c>
      <c r="H28" s="313">
        <v>2.2999999999999998</v>
      </c>
      <c r="I28" s="313">
        <v>10</v>
      </c>
      <c r="J28" s="20"/>
    </row>
    <row r="29" spans="1:16384" s="21" customFormat="1" ht="14.25" customHeight="1" x14ac:dyDescent="0.3">
      <c r="A29" s="236" t="str">
        <f>'Dropdown lists'!A5</f>
        <v xml:space="preserve">MVR </v>
      </c>
      <c r="B29" s="308">
        <v>3</v>
      </c>
      <c r="C29" s="309">
        <v>1</v>
      </c>
      <c r="D29" s="310">
        <v>8000</v>
      </c>
      <c r="E29" s="290">
        <v>10</v>
      </c>
      <c r="F29" s="311">
        <v>1346</v>
      </c>
      <c r="G29" s="312" t="s">
        <v>16</v>
      </c>
      <c r="H29" s="313">
        <v>2.2999999999999998</v>
      </c>
      <c r="I29" s="313">
        <v>12</v>
      </c>
      <c r="J29" s="20"/>
    </row>
    <row r="30" spans="1:16384" s="160" customFormat="1" ht="14.25" customHeight="1" x14ac:dyDescent="0.3">
      <c r="A30" s="236"/>
      <c r="B30" s="272"/>
      <c r="C30" s="314"/>
      <c r="D30" s="100"/>
      <c r="E30" s="99"/>
      <c r="F30" s="315"/>
      <c r="G30" s="316"/>
      <c r="H30" s="317"/>
      <c r="I30" s="318"/>
      <c r="J30" s="20"/>
      <c r="K30" s="21"/>
      <c r="L30" s="21"/>
      <c r="M30" s="21"/>
      <c r="N30" s="21"/>
      <c r="O30" s="21"/>
      <c r="P30" s="21"/>
      <c r="Q30" s="21"/>
      <c r="R30" s="21"/>
      <c r="S30" s="21"/>
      <c r="T30" s="21"/>
    </row>
    <row r="31" spans="1:16384" s="21" customFormat="1" ht="46.8" x14ac:dyDescent="0.3">
      <c r="A31" s="319" t="s">
        <v>36</v>
      </c>
      <c r="B31" s="20"/>
      <c r="C31" s="55" t="s">
        <v>43</v>
      </c>
      <c r="D31" s="55" t="s">
        <v>103</v>
      </c>
      <c r="E31" s="55" t="s">
        <v>104</v>
      </c>
      <c r="F31" s="55" t="s">
        <v>105</v>
      </c>
      <c r="G31" s="55" t="s">
        <v>106</v>
      </c>
      <c r="H31" s="55" t="s">
        <v>112</v>
      </c>
      <c r="I31" s="55" t="s">
        <v>113</v>
      </c>
      <c r="J31" s="20"/>
    </row>
    <row r="32" spans="1:16384" s="21" customFormat="1" ht="33" customHeight="1" x14ac:dyDescent="0.3">
      <c r="A32" s="319"/>
      <c r="B32" s="20"/>
      <c r="C32" s="272" t="s">
        <v>114</v>
      </c>
      <c r="D32" s="56" t="s">
        <v>110</v>
      </c>
      <c r="E32" s="272" t="s">
        <v>48</v>
      </c>
      <c r="F32" s="272" t="s">
        <v>111</v>
      </c>
      <c r="G32" s="272"/>
      <c r="H32" s="272" t="s">
        <v>115</v>
      </c>
      <c r="I32" s="272" t="s">
        <v>116</v>
      </c>
      <c r="J32" s="20"/>
    </row>
    <row r="33" spans="1:33" s="21" customFormat="1" ht="14.25" customHeight="1" x14ac:dyDescent="0.3">
      <c r="A33" s="236" t="s">
        <v>117</v>
      </c>
      <c r="B33" s="20"/>
      <c r="C33" s="311">
        <v>13158</v>
      </c>
      <c r="D33" s="310">
        <v>7000</v>
      </c>
      <c r="E33" s="290">
        <v>10</v>
      </c>
      <c r="F33" s="311">
        <v>1005</v>
      </c>
      <c r="G33" s="292">
        <v>0.95</v>
      </c>
      <c r="H33" s="320">
        <v>4.66125860212694E-2</v>
      </c>
      <c r="I33" s="320"/>
      <c r="J33" s="20"/>
    </row>
    <row r="34" spans="1:33" s="11" customFormat="1" ht="14.25" customHeight="1" x14ac:dyDescent="0.3">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row>
    <row r="35" spans="1:33" s="11" customFormat="1" ht="14.25" customHeight="1" x14ac:dyDescent="0.3">
      <c r="B35" s="33"/>
      <c r="C35" s="31"/>
      <c r="D35" s="31"/>
      <c r="E35" s="48"/>
      <c r="F35" s="31"/>
      <c r="G35" s="31"/>
      <c r="H35" s="31"/>
      <c r="I35" s="31"/>
      <c r="J35" s="31"/>
      <c r="K35" s="31"/>
      <c r="L35" s="31"/>
      <c r="M35" s="31"/>
      <c r="N35" s="31"/>
      <c r="O35" s="31"/>
      <c r="P35" s="31"/>
      <c r="Q35" s="31"/>
      <c r="R35" s="31"/>
      <c r="S35" s="31"/>
    </row>
    <row r="36" spans="1:33" s="11" customFormat="1" ht="14.25" customHeight="1" x14ac:dyDescent="0.3">
      <c r="A36" s="403"/>
      <c r="B36" s="403"/>
      <c r="C36" s="403"/>
      <c r="D36" s="403"/>
      <c r="E36" s="403"/>
      <c r="F36" s="403"/>
      <c r="G36" s="403"/>
      <c r="H36" s="403"/>
      <c r="I36" s="403"/>
      <c r="J36" s="403"/>
      <c r="K36" s="403"/>
      <c r="L36" s="403"/>
      <c r="M36" s="403"/>
      <c r="N36" s="403"/>
      <c r="O36" s="403"/>
      <c r="P36" s="403"/>
      <c r="Q36" s="403"/>
      <c r="R36" s="403"/>
      <c r="S36" s="403"/>
      <c r="T36" s="403"/>
      <c r="U36" s="403"/>
      <c r="V36" s="403"/>
      <c r="W36" s="403"/>
      <c r="X36" s="403"/>
      <c r="Y36" s="403"/>
      <c r="Z36" s="403"/>
      <c r="AA36" s="403"/>
      <c r="AB36" s="403"/>
      <c r="AC36" s="403"/>
      <c r="AD36" s="403"/>
      <c r="AE36" s="403"/>
      <c r="AF36" s="403"/>
    </row>
    <row r="37" spans="1:33" s="11" customFormat="1" ht="5.0999999999999996" customHeight="1" x14ac:dyDescent="0.3">
      <c r="A37" s="40"/>
      <c r="B37" s="40"/>
      <c r="C37" s="40"/>
      <c r="D37" s="40"/>
      <c r="E37" s="40"/>
      <c r="F37" s="40"/>
      <c r="G37" s="40"/>
      <c r="H37" s="40"/>
      <c r="I37" s="40"/>
      <c r="J37" s="40"/>
      <c r="K37" s="40"/>
      <c r="L37" s="40"/>
      <c r="M37" s="40"/>
      <c r="N37" s="40"/>
      <c r="O37" s="40"/>
      <c r="P37" s="40"/>
      <c r="Q37" s="40"/>
      <c r="R37" s="40"/>
      <c r="S37" s="40"/>
      <c r="T37" s="40"/>
    </row>
    <row r="38" spans="1:33" s="42" customFormat="1" ht="14.25" customHeight="1" x14ac:dyDescent="0.3">
      <c r="B38" s="43"/>
      <c r="C38" s="43"/>
      <c r="D38" s="43"/>
      <c r="E38" s="43"/>
      <c r="F38" s="43"/>
      <c r="G38" s="43"/>
      <c r="H38" s="43"/>
      <c r="I38" s="43"/>
      <c r="J38" s="43"/>
      <c r="K38" s="43"/>
      <c r="L38" s="43"/>
      <c r="M38" s="43"/>
      <c r="N38" s="43"/>
      <c r="O38" s="43"/>
      <c r="P38" s="145"/>
      <c r="Q38" s="43"/>
      <c r="R38" s="43"/>
      <c r="S38" s="43"/>
      <c r="T38" s="43"/>
      <c r="U38" s="43"/>
    </row>
    <row r="39" spans="1:33" s="42" customFormat="1" ht="14.25" customHeight="1" x14ac:dyDescent="0.3">
      <c r="B39" s="43"/>
      <c r="C39" s="43"/>
      <c r="D39" s="43"/>
      <c r="E39" s="43"/>
      <c r="F39" s="43"/>
      <c r="G39" s="43"/>
      <c r="H39" s="43"/>
      <c r="I39" s="43"/>
      <c r="J39" s="43"/>
      <c r="K39" s="43"/>
      <c r="L39" s="43"/>
      <c r="M39" s="43"/>
      <c r="N39" s="43"/>
      <c r="O39" s="43"/>
      <c r="P39" s="145"/>
      <c r="Q39" s="43"/>
      <c r="R39" s="43"/>
      <c r="S39" s="43"/>
      <c r="T39" s="43"/>
      <c r="U39" s="43"/>
    </row>
    <row r="40" spans="1:33" ht="14.25" customHeight="1" x14ac:dyDescent="0.2">
      <c r="A40" s="73"/>
      <c r="B40" s="2"/>
    </row>
    <row r="41" spans="1:33" ht="14.25" customHeight="1" x14ac:dyDescent="0.2">
      <c r="B41" s="2"/>
    </row>
    <row r="42" spans="1:33" ht="14.25" customHeight="1" x14ac:dyDescent="0.2">
      <c r="A42" s="57"/>
      <c r="B42" s="2"/>
    </row>
    <row r="43" spans="1:33" ht="14.25" customHeight="1" x14ac:dyDescent="0.2">
      <c r="B43" s="2"/>
    </row>
    <row r="44" spans="1:33" s="4" customFormat="1" ht="14.25" customHeight="1" x14ac:dyDescent="0.3">
      <c r="A44" s="54"/>
      <c r="B44" s="58"/>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274"/>
    </row>
    <row r="45" spans="1:33" s="2" customFormat="1" ht="14.25" customHeight="1" x14ac:dyDescent="0.3">
      <c r="A45" s="18"/>
      <c r="B45" s="33"/>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153"/>
    </row>
    <row r="46" spans="1:33" s="2" customFormat="1" ht="14.25" customHeight="1" x14ac:dyDescent="0.3">
      <c r="A46" s="18"/>
      <c r="B46" s="33"/>
      <c r="C46" s="275"/>
      <c r="D46" s="275"/>
      <c r="E46" s="275"/>
      <c r="F46" s="275"/>
      <c r="G46" s="275"/>
      <c r="H46" s="275"/>
      <c r="I46" s="275"/>
      <c r="J46" s="275"/>
      <c r="K46" s="275"/>
      <c r="L46" s="275"/>
      <c r="M46" s="275"/>
      <c r="N46" s="275"/>
      <c r="O46" s="275"/>
      <c r="P46" s="275"/>
      <c r="Q46" s="275"/>
      <c r="R46" s="275"/>
      <c r="S46" s="275"/>
      <c r="T46" s="275"/>
      <c r="U46" s="275"/>
      <c r="V46" s="275"/>
      <c r="W46" s="275"/>
      <c r="X46" s="275"/>
      <c r="Y46" s="275"/>
      <c r="Z46" s="275"/>
      <c r="AA46" s="275"/>
      <c r="AB46" s="275"/>
      <c r="AC46" s="275"/>
      <c r="AD46" s="275"/>
      <c r="AE46" s="275"/>
      <c r="AF46" s="275"/>
      <c r="AG46" s="153"/>
    </row>
    <row r="47" spans="1:33" s="2" customFormat="1" ht="14.25" customHeight="1" x14ac:dyDescent="0.3">
      <c r="A47" s="18"/>
      <c r="B47" s="223"/>
      <c r="C47" s="275"/>
      <c r="D47" s="275"/>
      <c r="E47" s="275"/>
      <c r="F47" s="275"/>
      <c r="G47" s="275"/>
      <c r="H47" s="275"/>
      <c r="I47" s="275"/>
      <c r="J47" s="275"/>
      <c r="K47" s="275"/>
      <c r="L47" s="275"/>
      <c r="M47" s="275"/>
      <c r="N47" s="275"/>
      <c r="O47" s="275"/>
      <c r="P47" s="275"/>
      <c r="Q47" s="275"/>
      <c r="R47" s="275"/>
      <c r="S47" s="275"/>
      <c r="T47" s="275"/>
      <c r="U47" s="275"/>
      <c r="V47" s="275"/>
      <c r="W47" s="275"/>
      <c r="X47" s="275"/>
      <c r="Y47" s="275"/>
      <c r="Z47" s="275"/>
      <c r="AA47" s="275"/>
      <c r="AB47" s="275"/>
      <c r="AC47" s="275"/>
      <c r="AD47" s="275"/>
      <c r="AE47" s="275"/>
      <c r="AF47" s="275"/>
      <c r="AG47" s="153"/>
    </row>
    <row r="48" spans="1:33" s="2" customFormat="1" ht="14.1" customHeight="1" x14ac:dyDescent="0.3">
      <c r="A48" s="236"/>
      <c r="B48" s="33"/>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153"/>
    </row>
    <row r="49" spans="1:33" s="2" customFormat="1" ht="14.1" customHeight="1" x14ac:dyDescent="0.3">
      <c r="A49" s="236"/>
      <c r="B49" s="33"/>
      <c r="C49" s="275"/>
      <c r="D49" s="275"/>
      <c r="E49" s="275"/>
      <c r="F49" s="275"/>
      <c r="G49" s="275"/>
      <c r="H49" s="275"/>
      <c r="I49" s="275"/>
      <c r="J49" s="275"/>
      <c r="K49" s="275"/>
      <c r="L49" s="275"/>
      <c r="M49" s="275"/>
      <c r="N49" s="275"/>
      <c r="O49" s="275"/>
      <c r="P49" s="275"/>
      <c r="Q49" s="275"/>
      <c r="R49" s="275"/>
      <c r="S49" s="275"/>
      <c r="T49" s="275"/>
      <c r="U49" s="275"/>
      <c r="V49" s="275"/>
      <c r="W49" s="275"/>
      <c r="X49" s="275"/>
      <c r="Y49" s="275"/>
      <c r="Z49" s="275"/>
      <c r="AA49" s="275"/>
      <c r="AB49" s="275"/>
      <c r="AC49" s="275"/>
      <c r="AD49" s="275"/>
      <c r="AE49" s="275"/>
      <c r="AF49" s="275"/>
      <c r="AG49" s="153"/>
    </row>
    <row r="50" spans="1:33" s="2" customFormat="1" ht="15.6" x14ac:dyDescent="0.3">
      <c r="A50" s="83"/>
      <c r="B50" s="33"/>
      <c r="C50" s="275"/>
      <c r="D50" s="275"/>
      <c r="E50" s="275"/>
      <c r="F50" s="275"/>
      <c r="G50" s="275"/>
      <c r="H50" s="275"/>
      <c r="I50" s="275"/>
      <c r="J50" s="275"/>
      <c r="K50" s="275"/>
      <c r="L50" s="275"/>
      <c r="M50" s="275"/>
      <c r="N50" s="275"/>
      <c r="O50" s="275"/>
      <c r="P50" s="275"/>
      <c r="Q50" s="275"/>
      <c r="R50" s="275"/>
      <c r="S50" s="275"/>
      <c r="T50" s="275"/>
      <c r="U50" s="275"/>
      <c r="V50" s="275"/>
      <c r="W50" s="275"/>
      <c r="X50" s="275"/>
      <c r="Y50" s="275"/>
      <c r="Z50" s="275"/>
      <c r="AA50" s="275"/>
      <c r="AB50" s="275"/>
      <c r="AC50" s="275"/>
      <c r="AD50" s="275"/>
      <c r="AE50" s="275"/>
      <c r="AF50" s="275"/>
      <c r="AG50" s="153"/>
    </row>
    <row r="51" spans="1:33" s="2" customFormat="1" ht="15.6" x14ac:dyDescent="0.3">
      <c r="A51" s="83"/>
      <c r="B51" s="33"/>
      <c r="C51" s="275"/>
      <c r="D51" s="275"/>
      <c r="E51" s="275"/>
      <c r="F51" s="275"/>
      <c r="G51" s="275"/>
      <c r="H51" s="275"/>
      <c r="I51" s="275"/>
      <c r="J51" s="275"/>
      <c r="K51" s="275"/>
      <c r="L51" s="275"/>
      <c r="M51" s="275"/>
      <c r="N51" s="275"/>
      <c r="O51" s="275"/>
      <c r="P51" s="275"/>
      <c r="Q51" s="275"/>
      <c r="R51" s="275"/>
      <c r="S51" s="275"/>
      <c r="T51" s="275"/>
      <c r="U51" s="275"/>
      <c r="V51" s="275"/>
      <c r="W51" s="275"/>
      <c r="X51" s="275"/>
      <c r="Y51" s="275"/>
      <c r="Z51" s="275"/>
      <c r="AA51" s="275"/>
      <c r="AB51" s="275"/>
      <c r="AC51" s="275"/>
      <c r="AD51" s="275"/>
      <c r="AE51" s="275"/>
      <c r="AF51" s="275"/>
      <c r="AG51" s="153"/>
    </row>
    <row r="52" spans="1:33" s="2" customFormat="1" ht="14.1" customHeight="1" x14ac:dyDescent="0.3">
      <c r="A52" s="83"/>
      <c r="B52" s="33"/>
      <c r="C52" s="275"/>
      <c r="D52" s="275"/>
      <c r="E52" s="275"/>
      <c r="F52" s="275"/>
      <c r="G52" s="275"/>
      <c r="H52" s="275"/>
      <c r="I52" s="275"/>
      <c r="J52" s="275"/>
      <c r="K52" s="275"/>
      <c r="L52" s="275"/>
      <c r="M52" s="275"/>
      <c r="N52" s="275"/>
      <c r="O52" s="275"/>
      <c r="P52" s="275"/>
      <c r="Q52" s="275"/>
      <c r="R52" s="275"/>
      <c r="S52" s="275"/>
      <c r="T52" s="275"/>
      <c r="U52" s="275"/>
      <c r="V52" s="275"/>
      <c r="W52" s="275"/>
      <c r="X52" s="275"/>
      <c r="Y52" s="275"/>
      <c r="Z52" s="275"/>
      <c r="AA52" s="275"/>
      <c r="AB52" s="275"/>
      <c r="AC52" s="275"/>
      <c r="AD52" s="275"/>
      <c r="AE52" s="275"/>
      <c r="AF52" s="275"/>
      <c r="AG52" s="153"/>
    </row>
    <row r="53" spans="1:33" s="2" customFormat="1" ht="15.6" x14ac:dyDescent="0.3">
      <c r="A53" s="276"/>
      <c r="B53" s="272"/>
      <c r="C53" s="275"/>
      <c r="D53" s="275"/>
      <c r="E53" s="275"/>
      <c r="F53" s="275"/>
      <c r="G53" s="275"/>
      <c r="H53" s="275"/>
      <c r="I53" s="275"/>
      <c r="J53" s="275"/>
      <c r="K53" s="275"/>
      <c r="L53" s="275"/>
      <c r="M53" s="275"/>
      <c r="N53" s="275"/>
      <c r="O53" s="275"/>
      <c r="P53" s="275"/>
      <c r="Q53" s="275"/>
      <c r="R53" s="275"/>
      <c r="S53" s="275"/>
      <c r="T53" s="275"/>
      <c r="U53" s="275"/>
      <c r="V53" s="275"/>
      <c r="W53" s="275"/>
      <c r="X53" s="275"/>
      <c r="Y53" s="275"/>
      <c r="Z53" s="275"/>
      <c r="AA53" s="275"/>
      <c r="AB53" s="275"/>
      <c r="AC53" s="275"/>
      <c r="AD53" s="275"/>
      <c r="AE53" s="275"/>
      <c r="AF53" s="275"/>
      <c r="AG53" s="153"/>
    </row>
    <row r="54" spans="1:33" ht="14.25" customHeight="1" x14ac:dyDescent="0.2">
      <c r="A54" s="236"/>
      <c r="B54" s="272"/>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153"/>
    </row>
    <row r="55" spans="1:33" ht="14.25" customHeight="1" x14ac:dyDescent="0.3">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row>
    <row r="56" spans="1:33" ht="14.25" customHeight="1" x14ac:dyDescent="0.3">
      <c r="A56" s="11"/>
      <c r="B56" s="11"/>
      <c r="C56" s="11"/>
      <c r="D56" s="11"/>
      <c r="E56" s="11"/>
      <c r="F56" s="11"/>
      <c r="G56" s="11"/>
      <c r="H56" s="11"/>
      <c r="I56" s="11"/>
      <c r="J56" s="11"/>
      <c r="K56" s="11"/>
      <c r="L56" s="11"/>
    </row>
    <row r="57" spans="1:33" ht="14.25" customHeight="1" x14ac:dyDescent="0.3">
      <c r="A57" s="403"/>
      <c r="B57" s="403"/>
      <c r="C57" s="403"/>
      <c r="D57" s="403"/>
      <c r="E57" s="403"/>
      <c r="F57" s="403"/>
      <c r="G57" s="403"/>
      <c r="H57" s="403"/>
      <c r="I57" s="403"/>
      <c r="J57" s="403"/>
      <c r="K57" s="403"/>
      <c r="L57" s="403"/>
      <c r="M57" s="403"/>
      <c r="N57" s="403"/>
      <c r="O57" s="403"/>
      <c r="P57" s="403"/>
      <c r="Q57" s="403"/>
      <c r="R57" s="403"/>
      <c r="S57" s="403"/>
      <c r="T57" s="403"/>
      <c r="U57" s="403"/>
      <c r="V57" s="403"/>
      <c r="W57" s="403"/>
      <c r="X57" s="403"/>
      <c r="Y57" s="403"/>
      <c r="Z57" s="403"/>
      <c r="AA57" s="403"/>
      <c r="AB57" s="403"/>
      <c r="AC57" s="403"/>
      <c r="AD57" s="403"/>
      <c r="AE57" s="403"/>
      <c r="AF57" s="403"/>
    </row>
    <row r="58" spans="1:33" ht="14.25" customHeight="1" x14ac:dyDescent="0.2">
      <c r="B58" s="2"/>
    </row>
    <row r="59" spans="1:33" ht="14.25" customHeight="1" x14ac:dyDescent="0.2">
      <c r="A59" s="57"/>
      <c r="B59" s="2"/>
    </row>
    <row r="60" spans="1:33" ht="14.25" customHeight="1" x14ac:dyDescent="0.2">
      <c r="A60" s="57"/>
      <c r="B60" s="2"/>
    </row>
    <row r="61" spans="1:33" ht="14.25" customHeight="1" x14ac:dyDescent="0.2">
      <c r="A61" s="54"/>
      <c r="B61" s="2"/>
    </row>
    <row r="62" spans="1:33" ht="14.25" customHeight="1" x14ac:dyDescent="0.2">
      <c r="A62" s="212"/>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row>
    <row r="63" spans="1:33" ht="14.25" customHeight="1" x14ac:dyDescent="0.2">
      <c r="A63" s="18"/>
      <c r="B63" s="33"/>
      <c r="C63" s="275"/>
      <c r="D63" s="275"/>
      <c r="E63" s="275"/>
      <c r="F63" s="275"/>
      <c r="G63" s="275"/>
      <c r="H63" s="275"/>
      <c r="I63" s="275"/>
      <c r="J63" s="275"/>
      <c r="K63" s="275"/>
      <c r="L63" s="275"/>
      <c r="M63" s="275"/>
      <c r="N63" s="275"/>
      <c r="O63" s="275"/>
      <c r="P63" s="275"/>
      <c r="Q63" s="275"/>
      <c r="R63" s="275"/>
      <c r="S63" s="275"/>
      <c r="T63" s="275"/>
      <c r="U63" s="275"/>
      <c r="V63" s="275"/>
      <c r="W63" s="275"/>
      <c r="X63" s="275"/>
      <c r="Y63" s="275"/>
      <c r="Z63" s="275"/>
      <c r="AA63" s="275"/>
      <c r="AB63" s="275"/>
      <c r="AC63" s="275"/>
      <c r="AD63" s="275"/>
      <c r="AE63" s="275"/>
      <c r="AF63" s="275"/>
    </row>
    <row r="64" spans="1:33" ht="14.25" customHeight="1" x14ac:dyDescent="0.2">
      <c r="A64" s="18"/>
      <c r="B64" s="33"/>
      <c r="C64" s="275"/>
      <c r="D64" s="275"/>
      <c r="E64" s="275"/>
      <c r="F64" s="275"/>
      <c r="G64" s="275"/>
      <c r="H64" s="275"/>
      <c r="I64" s="275"/>
      <c r="J64" s="275"/>
      <c r="K64" s="275"/>
      <c r="L64" s="275"/>
      <c r="M64" s="275"/>
      <c r="N64" s="275"/>
      <c r="O64" s="275"/>
      <c r="P64" s="275"/>
      <c r="Q64" s="275"/>
      <c r="R64" s="275"/>
      <c r="S64" s="275"/>
      <c r="T64" s="275"/>
      <c r="U64" s="275"/>
      <c r="V64" s="275"/>
      <c r="W64" s="275"/>
      <c r="X64" s="275"/>
      <c r="Y64" s="275"/>
      <c r="Z64" s="275"/>
      <c r="AA64" s="275"/>
      <c r="AB64" s="275"/>
      <c r="AC64" s="275"/>
      <c r="AD64" s="275"/>
      <c r="AE64" s="275"/>
      <c r="AF64" s="275"/>
    </row>
    <row r="65" spans="1:33" ht="14.25" customHeight="1" x14ac:dyDescent="0.3">
      <c r="A65" s="236"/>
      <c r="B65" s="223"/>
      <c r="C65" s="275"/>
      <c r="D65" s="275"/>
      <c r="E65" s="275"/>
      <c r="F65" s="275"/>
      <c r="G65" s="275"/>
      <c r="H65" s="275"/>
      <c r="I65" s="275"/>
      <c r="J65" s="275"/>
      <c r="K65" s="275"/>
      <c r="L65" s="275"/>
      <c r="M65" s="275"/>
      <c r="N65" s="275"/>
      <c r="O65" s="275"/>
      <c r="P65" s="275"/>
      <c r="Q65" s="275"/>
      <c r="R65" s="275"/>
      <c r="S65" s="275"/>
      <c r="T65" s="275"/>
      <c r="U65" s="275"/>
      <c r="V65" s="275"/>
      <c r="W65" s="275"/>
      <c r="X65" s="275"/>
      <c r="Y65" s="275"/>
      <c r="Z65" s="275"/>
      <c r="AA65" s="275"/>
      <c r="AB65" s="275"/>
      <c r="AC65" s="275"/>
      <c r="AD65" s="275"/>
      <c r="AE65" s="275"/>
      <c r="AF65" s="275"/>
    </row>
    <row r="66" spans="1:33" ht="14.25" customHeight="1" x14ac:dyDescent="0.2">
      <c r="A66" s="236"/>
      <c r="B66" s="33"/>
      <c r="C66" s="30"/>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row>
    <row r="67" spans="1:33" s="2" customFormat="1" ht="15" customHeight="1" x14ac:dyDescent="0.3">
      <c r="A67" s="243"/>
      <c r="B67" s="33"/>
      <c r="C67" s="275"/>
      <c r="D67" s="275"/>
      <c r="E67" s="275"/>
      <c r="F67" s="275"/>
      <c r="G67" s="275"/>
      <c r="H67" s="275"/>
      <c r="I67" s="275"/>
      <c r="J67" s="275"/>
      <c r="K67" s="275"/>
      <c r="L67" s="275"/>
      <c r="M67" s="275"/>
      <c r="N67" s="275"/>
      <c r="O67" s="275"/>
      <c r="P67" s="275"/>
      <c r="Q67" s="275"/>
      <c r="R67" s="275"/>
      <c r="S67" s="275"/>
      <c r="T67" s="275"/>
      <c r="U67" s="275"/>
      <c r="V67" s="275"/>
      <c r="W67" s="275"/>
      <c r="X67" s="275"/>
      <c r="Y67" s="275"/>
      <c r="Z67" s="275"/>
      <c r="AA67" s="275"/>
      <c r="AB67" s="275"/>
      <c r="AC67" s="275"/>
      <c r="AD67" s="275"/>
      <c r="AE67" s="275"/>
      <c r="AF67" s="275"/>
      <c r="AG67" s="153"/>
    </row>
    <row r="68" spans="1:33" s="2" customFormat="1" ht="14.25" customHeight="1" x14ac:dyDescent="0.3">
      <c r="A68" s="243"/>
      <c r="B68" s="33"/>
      <c r="C68" s="275"/>
      <c r="D68" s="275"/>
      <c r="E68" s="275"/>
      <c r="F68" s="275"/>
      <c r="G68" s="275"/>
      <c r="H68" s="275"/>
      <c r="I68" s="275"/>
      <c r="J68" s="275"/>
      <c r="K68" s="275"/>
      <c r="L68" s="275"/>
      <c r="M68" s="275"/>
      <c r="N68" s="275"/>
      <c r="O68" s="275"/>
      <c r="P68" s="275"/>
      <c r="Q68" s="275"/>
      <c r="R68" s="275"/>
      <c r="S68" s="275"/>
      <c r="T68" s="275"/>
      <c r="U68" s="275"/>
      <c r="V68" s="275"/>
      <c r="W68" s="275"/>
      <c r="X68" s="275"/>
      <c r="Y68" s="275"/>
      <c r="Z68" s="275"/>
      <c r="AA68" s="275"/>
      <c r="AB68" s="275"/>
      <c r="AC68" s="275"/>
      <c r="AD68" s="275"/>
      <c r="AE68" s="275"/>
      <c r="AF68" s="275"/>
      <c r="AG68" s="153"/>
    </row>
    <row r="69" spans="1:33" s="2" customFormat="1" ht="14.25" customHeight="1" x14ac:dyDescent="0.3">
      <c r="A69" s="243"/>
      <c r="B69" s="33"/>
      <c r="C69" s="275"/>
      <c r="D69" s="275"/>
      <c r="E69" s="275"/>
      <c r="F69" s="275"/>
      <c r="G69" s="275"/>
      <c r="H69" s="275"/>
      <c r="I69" s="275"/>
      <c r="J69" s="275"/>
      <c r="K69" s="275"/>
      <c r="L69" s="275"/>
      <c r="M69" s="275"/>
      <c r="N69" s="275"/>
      <c r="O69" s="275"/>
      <c r="P69" s="275"/>
      <c r="Q69" s="275"/>
      <c r="R69" s="275"/>
      <c r="S69" s="275"/>
      <c r="T69" s="275"/>
      <c r="U69" s="275"/>
      <c r="V69" s="275"/>
      <c r="W69" s="275"/>
      <c r="X69" s="275"/>
      <c r="Y69" s="275"/>
      <c r="Z69" s="275"/>
      <c r="AA69" s="275"/>
      <c r="AB69" s="275"/>
      <c r="AC69" s="275"/>
      <c r="AD69" s="275"/>
      <c r="AE69" s="275"/>
      <c r="AF69" s="275"/>
      <c r="AG69" s="153"/>
    </row>
    <row r="70" spans="1:33" s="2" customFormat="1" ht="14.1" customHeight="1" x14ac:dyDescent="0.3">
      <c r="A70" s="236"/>
      <c r="B70" s="272"/>
      <c r="C70" s="275"/>
      <c r="D70" s="275"/>
      <c r="E70" s="275"/>
      <c r="F70" s="275"/>
      <c r="G70" s="275"/>
      <c r="H70" s="275"/>
      <c r="I70" s="275"/>
      <c r="J70" s="275"/>
      <c r="K70" s="275"/>
      <c r="L70" s="275"/>
      <c r="M70" s="275"/>
      <c r="N70" s="275"/>
      <c r="O70" s="275"/>
      <c r="P70" s="275"/>
      <c r="Q70" s="275"/>
      <c r="R70" s="275"/>
      <c r="S70" s="275"/>
      <c r="T70" s="275"/>
      <c r="U70" s="275"/>
      <c r="V70" s="275"/>
      <c r="W70" s="275"/>
      <c r="X70" s="275"/>
      <c r="Y70" s="275"/>
      <c r="Z70" s="275"/>
      <c r="AA70" s="275"/>
      <c r="AB70" s="275"/>
      <c r="AC70" s="275"/>
      <c r="AD70" s="275"/>
      <c r="AE70" s="275"/>
      <c r="AF70" s="275"/>
      <c r="AG70" s="153"/>
    </row>
    <row r="71" spans="1:33" s="2" customFormat="1" ht="14.1" customHeight="1" x14ac:dyDescent="0.3">
      <c r="A71" s="236"/>
      <c r="B71" s="272"/>
      <c r="C71" s="275"/>
      <c r="D71" s="275"/>
      <c r="E71" s="275"/>
      <c r="F71" s="275"/>
      <c r="G71" s="275"/>
      <c r="H71" s="275"/>
      <c r="I71" s="275"/>
      <c r="J71" s="275"/>
      <c r="K71" s="275"/>
      <c r="L71" s="275"/>
      <c r="M71" s="275"/>
      <c r="N71" s="275"/>
      <c r="O71" s="275"/>
      <c r="P71" s="275"/>
      <c r="Q71" s="275"/>
      <c r="R71" s="275"/>
      <c r="S71" s="275"/>
      <c r="T71" s="275"/>
      <c r="U71" s="275"/>
      <c r="V71" s="275"/>
      <c r="W71" s="275"/>
      <c r="X71" s="275"/>
      <c r="Y71" s="275"/>
      <c r="Z71" s="275"/>
      <c r="AA71" s="275"/>
      <c r="AB71" s="275"/>
      <c r="AC71" s="275"/>
      <c r="AD71" s="275"/>
      <c r="AE71" s="275"/>
      <c r="AF71" s="275"/>
      <c r="AG71" s="153"/>
    </row>
    <row r="72" spans="1:33" ht="14.25" customHeight="1" x14ac:dyDescent="0.2">
      <c r="A72" s="237"/>
      <c r="B72" s="2"/>
    </row>
    <row r="73" spans="1:33" ht="14.25" customHeight="1" x14ac:dyDescent="0.2">
      <c r="A73" s="238"/>
      <c r="B73" s="58"/>
      <c r="C73" s="58"/>
      <c r="D73" s="58"/>
      <c r="E73" s="58"/>
      <c r="F73" s="58"/>
      <c r="G73" s="58"/>
      <c r="H73" s="58"/>
      <c r="I73" s="58"/>
      <c r="J73" s="58"/>
      <c r="K73" s="58"/>
      <c r="L73" s="58"/>
      <c r="M73" s="58"/>
      <c r="N73" s="58"/>
      <c r="O73" s="58"/>
      <c r="P73" s="58"/>
      <c r="Q73" s="58"/>
      <c r="R73" s="58"/>
      <c r="S73" s="58"/>
      <c r="T73" s="58"/>
      <c r="U73" s="58"/>
      <c r="V73" s="58"/>
      <c r="W73" s="58"/>
      <c r="X73" s="58"/>
      <c r="Y73" s="58"/>
      <c r="Z73" s="58"/>
      <c r="AA73" s="58"/>
      <c r="AB73" s="58"/>
      <c r="AC73" s="58"/>
      <c r="AD73" s="58"/>
      <c r="AE73" s="58"/>
      <c r="AF73" s="58"/>
    </row>
    <row r="74" spans="1:33" ht="14.25" customHeight="1" x14ac:dyDescent="0.2">
      <c r="A74" s="18"/>
      <c r="B74" s="33"/>
      <c r="C74" s="275"/>
      <c r="D74" s="275"/>
      <c r="E74" s="275"/>
      <c r="F74" s="275"/>
      <c r="G74" s="275"/>
      <c r="H74" s="275"/>
      <c r="I74" s="275"/>
      <c r="J74" s="275"/>
      <c r="K74" s="275"/>
      <c r="L74" s="275"/>
      <c r="M74" s="275"/>
      <c r="N74" s="275"/>
      <c r="O74" s="275"/>
      <c r="P74" s="275"/>
      <c r="Q74" s="275"/>
      <c r="R74" s="275"/>
      <c r="S74" s="275"/>
      <c r="T74" s="275"/>
      <c r="U74" s="275"/>
      <c r="V74" s="275"/>
      <c r="W74" s="275"/>
      <c r="X74" s="275"/>
      <c r="Y74" s="275"/>
      <c r="Z74" s="275"/>
      <c r="AA74" s="275"/>
      <c r="AB74" s="275"/>
      <c r="AC74" s="275"/>
      <c r="AD74" s="275"/>
      <c r="AE74" s="275"/>
      <c r="AF74" s="275"/>
    </row>
    <row r="75" spans="1:33" ht="14.25" customHeight="1" x14ac:dyDescent="0.2">
      <c r="A75" s="18"/>
      <c r="B75" s="33"/>
      <c r="C75" s="275"/>
      <c r="D75" s="275"/>
      <c r="E75" s="275"/>
      <c r="F75" s="275"/>
      <c r="G75" s="275"/>
      <c r="H75" s="275"/>
      <c r="I75" s="275"/>
      <c r="J75" s="275"/>
      <c r="K75" s="275"/>
      <c r="L75" s="275"/>
      <c r="M75" s="275"/>
      <c r="N75" s="275"/>
      <c r="O75" s="275"/>
      <c r="P75" s="275"/>
      <c r="Q75" s="275"/>
      <c r="R75" s="275"/>
      <c r="S75" s="275"/>
      <c r="T75" s="275"/>
      <c r="U75" s="275"/>
      <c r="V75" s="275"/>
      <c r="W75" s="275"/>
      <c r="X75" s="275"/>
      <c r="Y75" s="275"/>
      <c r="Z75" s="275"/>
      <c r="AA75" s="275"/>
      <c r="AB75" s="275"/>
      <c r="AC75" s="275"/>
      <c r="AD75" s="275"/>
      <c r="AE75" s="275"/>
      <c r="AF75" s="275"/>
    </row>
    <row r="76" spans="1:33" ht="14.25" customHeight="1" x14ac:dyDescent="0.3">
      <c r="A76" s="236"/>
      <c r="B76" s="223"/>
      <c r="C76" s="275"/>
      <c r="D76" s="275"/>
      <c r="E76" s="275"/>
      <c r="F76" s="275"/>
      <c r="G76" s="275"/>
      <c r="H76" s="275"/>
      <c r="I76" s="275"/>
      <c r="J76" s="275"/>
      <c r="K76" s="275"/>
      <c r="L76" s="275"/>
      <c r="M76" s="275"/>
      <c r="N76" s="275"/>
      <c r="O76" s="275"/>
      <c r="P76" s="275"/>
      <c r="Q76" s="275"/>
      <c r="R76" s="275"/>
      <c r="S76" s="275"/>
      <c r="T76" s="275"/>
      <c r="U76" s="275"/>
      <c r="V76" s="275"/>
      <c r="W76" s="275"/>
      <c r="X76" s="275"/>
      <c r="Y76" s="275"/>
      <c r="Z76" s="275"/>
      <c r="AA76" s="275"/>
      <c r="AB76" s="275"/>
      <c r="AC76" s="275"/>
      <c r="AD76" s="275"/>
      <c r="AE76" s="275"/>
      <c r="AF76" s="275"/>
    </row>
    <row r="77" spans="1:33" ht="15.6" x14ac:dyDescent="0.2">
      <c r="A77" s="236"/>
      <c r="B77" s="33"/>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row>
    <row r="78" spans="1:33" ht="15.6" x14ac:dyDescent="0.2">
      <c r="A78" s="16"/>
      <c r="B78" s="33"/>
      <c r="C78" s="275"/>
      <c r="D78" s="275"/>
      <c r="E78" s="275"/>
      <c r="F78" s="275"/>
      <c r="G78" s="275"/>
      <c r="H78" s="275"/>
      <c r="I78" s="275"/>
      <c r="J78" s="275"/>
      <c r="K78" s="275"/>
      <c r="L78" s="275"/>
      <c r="M78" s="275"/>
      <c r="N78" s="275"/>
      <c r="O78" s="275"/>
      <c r="P78" s="275"/>
      <c r="Q78" s="275"/>
      <c r="R78" s="275"/>
      <c r="S78" s="275"/>
      <c r="T78" s="275"/>
      <c r="U78" s="275"/>
      <c r="V78" s="275"/>
      <c r="W78" s="275"/>
      <c r="X78" s="275"/>
      <c r="Y78" s="275"/>
      <c r="Z78" s="275"/>
      <c r="AA78" s="275"/>
      <c r="AB78" s="275"/>
      <c r="AC78" s="275"/>
      <c r="AD78" s="275"/>
      <c r="AE78" s="275"/>
      <c r="AF78" s="275"/>
    </row>
    <row r="79" spans="1:33" s="2" customFormat="1" ht="15" customHeight="1" x14ac:dyDescent="0.3">
      <c r="A79" s="243"/>
      <c r="B79" s="33"/>
      <c r="C79" s="275"/>
      <c r="D79" s="275"/>
      <c r="E79" s="275"/>
      <c r="F79" s="275"/>
      <c r="G79" s="275"/>
      <c r="H79" s="275"/>
      <c r="I79" s="275"/>
      <c r="J79" s="275"/>
      <c r="K79" s="275"/>
      <c r="L79" s="275"/>
      <c r="M79" s="275"/>
      <c r="N79" s="275"/>
      <c r="O79" s="275"/>
      <c r="P79" s="275"/>
      <c r="Q79" s="275"/>
      <c r="R79" s="275"/>
      <c r="S79" s="275"/>
      <c r="T79" s="275"/>
      <c r="U79" s="275"/>
      <c r="V79" s="275"/>
      <c r="W79" s="275"/>
      <c r="X79" s="275"/>
      <c r="Y79" s="275"/>
      <c r="Z79" s="275"/>
      <c r="AA79" s="275"/>
      <c r="AB79" s="275"/>
      <c r="AC79" s="275"/>
      <c r="AD79" s="275"/>
      <c r="AE79" s="275"/>
      <c r="AF79" s="275"/>
      <c r="AG79" s="153"/>
    </row>
    <row r="80" spans="1:33" s="2" customFormat="1" ht="14.25" customHeight="1" x14ac:dyDescent="0.3">
      <c r="A80" s="243"/>
      <c r="B80" s="33"/>
      <c r="C80" s="275"/>
      <c r="D80" s="275"/>
      <c r="E80" s="275"/>
      <c r="F80" s="275"/>
      <c r="G80" s="275"/>
      <c r="H80" s="275"/>
      <c r="I80" s="275"/>
      <c r="J80" s="275"/>
      <c r="K80" s="275"/>
      <c r="L80" s="275"/>
      <c r="M80" s="275"/>
      <c r="N80" s="275"/>
      <c r="O80" s="275"/>
      <c r="P80" s="275"/>
      <c r="Q80" s="275"/>
      <c r="R80" s="275"/>
      <c r="S80" s="275"/>
      <c r="T80" s="275"/>
      <c r="U80" s="275"/>
      <c r="V80" s="275"/>
      <c r="W80" s="275"/>
      <c r="X80" s="275"/>
      <c r="Y80" s="275"/>
      <c r="Z80" s="275"/>
      <c r="AA80" s="275"/>
      <c r="AB80" s="275"/>
      <c r="AC80" s="275"/>
      <c r="AD80" s="275"/>
      <c r="AE80" s="275"/>
      <c r="AF80" s="275"/>
      <c r="AG80" s="153"/>
    </row>
    <row r="81" spans="1:33" s="2" customFormat="1" ht="14.25" customHeight="1" x14ac:dyDescent="0.3">
      <c r="A81" s="83"/>
      <c r="B81" s="33"/>
      <c r="C81" s="275"/>
      <c r="D81" s="275"/>
      <c r="E81" s="275"/>
      <c r="F81" s="275"/>
      <c r="G81" s="275"/>
      <c r="H81" s="275"/>
      <c r="I81" s="275"/>
      <c r="J81" s="275"/>
      <c r="K81" s="275"/>
      <c r="L81" s="275"/>
      <c r="M81" s="275"/>
      <c r="N81" s="275"/>
      <c r="O81" s="275"/>
      <c r="P81" s="275"/>
      <c r="Q81" s="275"/>
      <c r="R81" s="275"/>
      <c r="S81" s="275"/>
      <c r="T81" s="275"/>
      <c r="U81" s="275"/>
      <c r="V81" s="275"/>
      <c r="W81" s="275"/>
      <c r="X81" s="275"/>
      <c r="Y81" s="275"/>
      <c r="Z81" s="275"/>
      <c r="AA81" s="275"/>
      <c r="AB81" s="275"/>
      <c r="AC81" s="275"/>
      <c r="AD81" s="275"/>
      <c r="AE81" s="275"/>
      <c r="AF81" s="275"/>
      <c r="AG81" s="153"/>
    </row>
    <row r="82" spans="1:33" s="2" customFormat="1" ht="14.25" customHeight="1" x14ac:dyDescent="0.3">
      <c r="A82" s="236"/>
      <c r="B82" s="272"/>
      <c r="C82" s="275"/>
      <c r="D82" s="275"/>
      <c r="E82" s="275"/>
      <c r="F82" s="275"/>
      <c r="G82" s="275"/>
      <c r="H82" s="275"/>
      <c r="I82" s="275"/>
      <c r="J82" s="275"/>
      <c r="K82" s="275"/>
      <c r="L82" s="275"/>
      <c r="M82" s="275"/>
      <c r="N82" s="275"/>
      <c r="O82" s="275"/>
      <c r="P82" s="275"/>
      <c r="Q82" s="275"/>
      <c r="R82" s="275"/>
      <c r="S82" s="275"/>
      <c r="T82" s="275"/>
      <c r="U82" s="275"/>
      <c r="V82" s="275"/>
      <c r="W82" s="275"/>
      <c r="X82" s="275"/>
      <c r="Y82" s="275"/>
      <c r="Z82" s="275"/>
      <c r="AA82" s="275"/>
      <c r="AB82" s="275"/>
      <c r="AC82" s="275"/>
      <c r="AD82" s="275"/>
      <c r="AE82" s="275"/>
      <c r="AF82" s="275"/>
      <c r="AG82" s="153"/>
    </row>
    <row r="83" spans="1:33" ht="14.25" customHeight="1" x14ac:dyDescent="0.3">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row>
    <row r="84" spans="1:33" ht="14.25" customHeight="1" x14ac:dyDescent="0.2">
      <c r="B84" s="2"/>
    </row>
    <row r="85" spans="1:33" ht="14.25" customHeight="1" x14ac:dyDescent="0.2">
      <c r="B85" s="2"/>
    </row>
    <row r="86" spans="1:33" ht="14.25" customHeight="1" x14ac:dyDescent="0.2">
      <c r="B86" s="2"/>
    </row>
    <row r="87" spans="1:33" ht="14.25" customHeight="1" x14ac:dyDescent="0.2">
      <c r="B87" s="2"/>
    </row>
    <row r="88" spans="1:33" ht="14.25" customHeight="1" x14ac:dyDescent="0.2">
      <c r="B88" s="2"/>
    </row>
    <row r="89" spans="1:33" ht="14.25" customHeight="1" x14ac:dyDescent="0.2">
      <c r="B89" s="2"/>
    </row>
    <row r="90" spans="1:33" ht="14.25" customHeight="1" x14ac:dyDescent="0.2">
      <c r="B90" s="2"/>
    </row>
  </sheetData>
  <mergeCells count="514">
    <mergeCell ref="GK20:HP20"/>
    <mergeCell ref="HQ20:IV20"/>
    <mergeCell ref="IW20:KB20"/>
    <mergeCell ref="KC20:LH20"/>
    <mergeCell ref="LI20:MN20"/>
    <mergeCell ref="MO20:NT20"/>
    <mergeCell ref="A20:AF20"/>
    <mergeCell ref="AG20:BL20"/>
    <mergeCell ref="BM20:CR20"/>
    <mergeCell ref="CS20:DX20"/>
    <mergeCell ref="DY20:FD20"/>
    <mergeCell ref="FE20:GJ20"/>
    <mergeCell ref="VE20:WJ20"/>
    <mergeCell ref="WK20:XP20"/>
    <mergeCell ref="XQ20:YV20"/>
    <mergeCell ref="YW20:AAB20"/>
    <mergeCell ref="AAC20:ABH20"/>
    <mergeCell ref="ABI20:ACN20"/>
    <mergeCell ref="NU20:OZ20"/>
    <mergeCell ref="PA20:QF20"/>
    <mergeCell ref="QG20:RL20"/>
    <mergeCell ref="RM20:SR20"/>
    <mergeCell ref="SS20:TX20"/>
    <mergeCell ref="TY20:VD20"/>
    <mergeCell ref="AJY20:ALD20"/>
    <mergeCell ref="ALE20:AMJ20"/>
    <mergeCell ref="AMK20:ANP20"/>
    <mergeCell ref="ANQ20:AOV20"/>
    <mergeCell ref="AOW20:AQB20"/>
    <mergeCell ref="AQC20:ARH20"/>
    <mergeCell ref="ACO20:ADT20"/>
    <mergeCell ref="ADU20:AEZ20"/>
    <mergeCell ref="AFA20:AGF20"/>
    <mergeCell ref="AGG20:AHL20"/>
    <mergeCell ref="AHM20:AIR20"/>
    <mergeCell ref="AIS20:AJX20"/>
    <mergeCell ref="AYS20:AZX20"/>
    <mergeCell ref="AZY20:BBD20"/>
    <mergeCell ref="BBE20:BCJ20"/>
    <mergeCell ref="BCK20:BDP20"/>
    <mergeCell ref="BDQ20:BEV20"/>
    <mergeCell ref="BEW20:BGB20"/>
    <mergeCell ref="ARI20:ASN20"/>
    <mergeCell ref="ASO20:ATT20"/>
    <mergeCell ref="ATU20:AUZ20"/>
    <mergeCell ref="AVA20:AWF20"/>
    <mergeCell ref="AWG20:AXL20"/>
    <mergeCell ref="AXM20:AYR20"/>
    <mergeCell ref="BNM20:BOR20"/>
    <mergeCell ref="BOS20:BPX20"/>
    <mergeCell ref="BPY20:BRD20"/>
    <mergeCell ref="BRE20:BSJ20"/>
    <mergeCell ref="BSK20:BTP20"/>
    <mergeCell ref="BTQ20:BUV20"/>
    <mergeCell ref="BGC20:BHH20"/>
    <mergeCell ref="BHI20:BIN20"/>
    <mergeCell ref="BIO20:BJT20"/>
    <mergeCell ref="BJU20:BKZ20"/>
    <mergeCell ref="BLA20:BMF20"/>
    <mergeCell ref="BMG20:BNL20"/>
    <mergeCell ref="CCG20:CDL20"/>
    <mergeCell ref="CDM20:CER20"/>
    <mergeCell ref="CES20:CFX20"/>
    <mergeCell ref="CFY20:CHD20"/>
    <mergeCell ref="CHE20:CIJ20"/>
    <mergeCell ref="CIK20:CJP20"/>
    <mergeCell ref="BUW20:BWB20"/>
    <mergeCell ref="BWC20:BXH20"/>
    <mergeCell ref="BXI20:BYN20"/>
    <mergeCell ref="BYO20:BZT20"/>
    <mergeCell ref="BZU20:CAZ20"/>
    <mergeCell ref="CBA20:CCF20"/>
    <mergeCell ref="CRA20:CSF20"/>
    <mergeCell ref="CSG20:CTL20"/>
    <mergeCell ref="CTM20:CUR20"/>
    <mergeCell ref="CUS20:CVX20"/>
    <mergeCell ref="CVY20:CXD20"/>
    <mergeCell ref="CXE20:CYJ20"/>
    <mergeCell ref="CJQ20:CKV20"/>
    <mergeCell ref="CKW20:CMB20"/>
    <mergeCell ref="CMC20:CNH20"/>
    <mergeCell ref="CNI20:CON20"/>
    <mergeCell ref="COO20:CPT20"/>
    <mergeCell ref="CPU20:CQZ20"/>
    <mergeCell ref="DFU20:DGZ20"/>
    <mergeCell ref="DHA20:DIF20"/>
    <mergeCell ref="DIG20:DJL20"/>
    <mergeCell ref="DJM20:DKR20"/>
    <mergeCell ref="DKS20:DLX20"/>
    <mergeCell ref="DLY20:DND20"/>
    <mergeCell ref="CYK20:CZP20"/>
    <mergeCell ref="CZQ20:DAV20"/>
    <mergeCell ref="DAW20:DCB20"/>
    <mergeCell ref="DCC20:DDH20"/>
    <mergeCell ref="DDI20:DEN20"/>
    <mergeCell ref="DEO20:DFT20"/>
    <mergeCell ref="DUO20:DVT20"/>
    <mergeCell ref="DVU20:DWZ20"/>
    <mergeCell ref="DXA20:DYF20"/>
    <mergeCell ref="DYG20:DZL20"/>
    <mergeCell ref="DZM20:EAR20"/>
    <mergeCell ref="EAS20:EBX20"/>
    <mergeCell ref="DNE20:DOJ20"/>
    <mergeCell ref="DOK20:DPP20"/>
    <mergeCell ref="DPQ20:DQV20"/>
    <mergeCell ref="DQW20:DSB20"/>
    <mergeCell ref="DSC20:DTH20"/>
    <mergeCell ref="DTI20:DUN20"/>
    <mergeCell ref="EJI20:EKN20"/>
    <mergeCell ref="EKO20:ELT20"/>
    <mergeCell ref="ELU20:EMZ20"/>
    <mergeCell ref="ENA20:EOF20"/>
    <mergeCell ref="EOG20:EPL20"/>
    <mergeCell ref="EPM20:EQR20"/>
    <mergeCell ref="EBY20:EDD20"/>
    <mergeCell ref="EDE20:EEJ20"/>
    <mergeCell ref="EEK20:EFP20"/>
    <mergeCell ref="EFQ20:EGV20"/>
    <mergeCell ref="EGW20:EIB20"/>
    <mergeCell ref="EIC20:EJH20"/>
    <mergeCell ref="EYC20:EZH20"/>
    <mergeCell ref="EZI20:FAN20"/>
    <mergeCell ref="FAO20:FBT20"/>
    <mergeCell ref="FBU20:FCZ20"/>
    <mergeCell ref="FDA20:FEF20"/>
    <mergeCell ref="FEG20:FFL20"/>
    <mergeCell ref="EQS20:ERX20"/>
    <mergeCell ref="ERY20:ETD20"/>
    <mergeCell ref="ETE20:EUJ20"/>
    <mergeCell ref="EUK20:EVP20"/>
    <mergeCell ref="EVQ20:EWV20"/>
    <mergeCell ref="EWW20:EYB20"/>
    <mergeCell ref="FMW20:FOB20"/>
    <mergeCell ref="FOC20:FPH20"/>
    <mergeCell ref="FPI20:FQN20"/>
    <mergeCell ref="FQO20:FRT20"/>
    <mergeCell ref="FRU20:FSZ20"/>
    <mergeCell ref="FTA20:FUF20"/>
    <mergeCell ref="FFM20:FGR20"/>
    <mergeCell ref="FGS20:FHX20"/>
    <mergeCell ref="FHY20:FJD20"/>
    <mergeCell ref="FJE20:FKJ20"/>
    <mergeCell ref="FKK20:FLP20"/>
    <mergeCell ref="FLQ20:FMV20"/>
    <mergeCell ref="GBQ20:GCV20"/>
    <mergeCell ref="GCW20:GEB20"/>
    <mergeCell ref="GEC20:GFH20"/>
    <mergeCell ref="GFI20:GGN20"/>
    <mergeCell ref="GGO20:GHT20"/>
    <mergeCell ref="GHU20:GIZ20"/>
    <mergeCell ref="FUG20:FVL20"/>
    <mergeCell ref="FVM20:FWR20"/>
    <mergeCell ref="FWS20:FXX20"/>
    <mergeCell ref="FXY20:FZD20"/>
    <mergeCell ref="FZE20:GAJ20"/>
    <mergeCell ref="GAK20:GBP20"/>
    <mergeCell ref="GQK20:GRP20"/>
    <mergeCell ref="GRQ20:GSV20"/>
    <mergeCell ref="GSW20:GUB20"/>
    <mergeCell ref="GUC20:GVH20"/>
    <mergeCell ref="GVI20:GWN20"/>
    <mergeCell ref="GWO20:GXT20"/>
    <mergeCell ref="GJA20:GKF20"/>
    <mergeCell ref="GKG20:GLL20"/>
    <mergeCell ref="GLM20:GMR20"/>
    <mergeCell ref="GMS20:GNX20"/>
    <mergeCell ref="GNY20:GPD20"/>
    <mergeCell ref="GPE20:GQJ20"/>
    <mergeCell ref="HFE20:HGJ20"/>
    <mergeCell ref="HGK20:HHP20"/>
    <mergeCell ref="HHQ20:HIV20"/>
    <mergeCell ref="HIW20:HKB20"/>
    <mergeCell ref="HKC20:HLH20"/>
    <mergeCell ref="HLI20:HMN20"/>
    <mergeCell ref="GXU20:GYZ20"/>
    <mergeCell ref="GZA20:HAF20"/>
    <mergeCell ref="HAG20:HBL20"/>
    <mergeCell ref="HBM20:HCR20"/>
    <mergeCell ref="HCS20:HDX20"/>
    <mergeCell ref="HDY20:HFD20"/>
    <mergeCell ref="HTY20:HVD20"/>
    <mergeCell ref="HVE20:HWJ20"/>
    <mergeCell ref="HWK20:HXP20"/>
    <mergeCell ref="HXQ20:HYV20"/>
    <mergeCell ref="HYW20:IAB20"/>
    <mergeCell ref="IAC20:IBH20"/>
    <mergeCell ref="HMO20:HNT20"/>
    <mergeCell ref="HNU20:HOZ20"/>
    <mergeCell ref="HPA20:HQF20"/>
    <mergeCell ref="HQG20:HRL20"/>
    <mergeCell ref="HRM20:HSR20"/>
    <mergeCell ref="HSS20:HTX20"/>
    <mergeCell ref="IIS20:IJX20"/>
    <mergeCell ref="IJY20:ILD20"/>
    <mergeCell ref="ILE20:IMJ20"/>
    <mergeCell ref="IMK20:INP20"/>
    <mergeCell ref="INQ20:IOV20"/>
    <mergeCell ref="IOW20:IQB20"/>
    <mergeCell ref="IBI20:ICN20"/>
    <mergeCell ref="ICO20:IDT20"/>
    <mergeCell ref="IDU20:IEZ20"/>
    <mergeCell ref="IFA20:IGF20"/>
    <mergeCell ref="IGG20:IHL20"/>
    <mergeCell ref="IHM20:IIR20"/>
    <mergeCell ref="IXM20:IYR20"/>
    <mergeCell ref="IYS20:IZX20"/>
    <mergeCell ref="IZY20:JBD20"/>
    <mergeCell ref="JBE20:JCJ20"/>
    <mergeCell ref="JCK20:JDP20"/>
    <mergeCell ref="JDQ20:JEV20"/>
    <mergeCell ref="IQC20:IRH20"/>
    <mergeCell ref="IRI20:ISN20"/>
    <mergeCell ref="ISO20:ITT20"/>
    <mergeCell ref="ITU20:IUZ20"/>
    <mergeCell ref="IVA20:IWF20"/>
    <mergeCell ref="IWG20:IXL20"/>
    <mergeCell ref="JMG20:JNL20"/>
    <mergeCell ref="JNM20:JOR20"/>
    <mergeCell ref="JOS20:JPX20"/>
    <mergeCell ref="JPY20:JRD20"/>
    <mergeCell ref="JRE20:JSJ20"/>
    <mergeCell ref="JSK20:JTP20"/>
    <mergeCell ref="JEW20:JGB20"/>
    <mergeCell ref="JGC20:JHH20"/>
    <mergeCell ref="JHI20:JIN20"/>
    <mergeCell ref="JIO20:JJT20"/>
    <mergeCell ref="JJU20:JKZ20"/>
    <mergeCell ref="JLA20:JMF20"/>
    <mergeCell ref="KBA20:KCF20"/>
    <mergeCell ref="KCG20:KDL20"/>
    <mergeCell ref="KDM20:KER20"/>
    <mergeCell ref="KES20:KFX20"/>
    <mergeCell ref="KFY20:KHD20"/>
    <mergeCell ref="KHE20:KIJ20"/>
    <mergeCell ref="JTQ20:JUV20"/>
    <mergeCell ref="JUW20:JWB20"/>
    <mergeCell ref="JWC20:JXH20"/>
    <mergeCell ref="JXI20:JYN20"/>
    <mergeCell ref="JYO20:JZT20"/>
    <mergeCell ref="JZU20:KAZ20"/>
    <mergeCell ref="KPU20:KQZ20"/>
    <mergeCell ref="KRA20:KSF20"/>
    <mergeCell ref="KSG20:KTL20"/>
    <mergeCell ref="KTM20:KUR20"/>
    <mergeCell ref="KUS20:KVX20"/>
    <mergeCell ref="KVY20:KXD20"/>
    <mergeCell ref="KIK20:KJP20"/>
    <mergeCell ref="KJQ20:KKV20"/>
    <mergeCell ref="KKW20:KMB20"/>
    <mergeCell ref="KMC20:KNH20"/>
    <mergeCell ref="KNI20:KON20"/>
    <mergeCell ref="KOO20:KPT20"/>
    <mergeCell ref="LEO20:LFT20"/>
    <mergeCell ref="LFU20:LGZ20"/>
    <mergeCell ref="LHA20:LIF20"/>
    <mergeCell ref="LIG20:LJL20"/>
    <mergeCell ref="LJM20:LKR20"/>
    <mergeCell ref="LKS20:LLX20"/>
    <mergeCell ref="KXE20:KYJ20"/>
    <mergeCell ref="KYK20:KZP20"/>
    <mergeCell ref="KZQ20:LAV20"/>
    <mergeCell ref="LAW20:LCB20"/>
    <mergeCell ref="LCC20:LDH20"/>
    <mergeCell ref="LDI20:LEN20"/>
    <mergeCell ref="LTI20:LUN20"/>
    <mergeCell ref="LUO20:LVT20"/>
    <mergeCell ref="LVU20:LWZ20"/>
    <mergeCell ref="LXA20:LYF20"/>
    <mergeCell ref="LYG20:LZL20"/>
    <mergeCell ref="LZM20:MAR20"/>
    <mergeCell ref="LLY20:LND20"/>
    <mergeCell ref="LNE20:LOJ20"/>
    <mergeCell ref="LOK20:LPP20"/>
    <mergeCell ref="LPQ20:LQV20"/>
    <mergeCell ref="LQW20:LSB20"/>
    <mergeCell ref="LSC20:LTH20"/>
    <mergeCell ref="MIC20:MJH20"/>
    <mergeCell ref="MJI20:MKN20"/>
    <mergeCell ref="MKO20:MLT20"/>
    <mergeCell ref="MLU20:MMZ20"/>
    <mergeCell ref="MNA20:MOF20"/>
    <mergeCell ref="MOG20:MPL20"/>
    <mergeCell ref="MAS20:MBX20"/>
    <mergeCell ref="MBY20:MDD20"/>
    <mergeCell ref="MDE20:MEJ20"/>
    <mergeCell ref="MEK20:MFP20"/>
    <mergeCell ref="MFQ20:MGV20"/>
    <mergeCell ref="MGW20:MIB20"/>
    <mergeCell ref="MWW20:MYB20"/>
    <mergeCell ref="MYC20:MZH20"/>
    <mergeCell ref="MZI20:NAN20"/>
    <mergeCell ref="NAO20:NBT20"/>
    <mergeCell ref="NBU20:NCZ20"/>
    <mergeCell ref="NDA20:NEF20"/>
    <mergeCell ref="MPM20:MQR20"/>
    <mergeCell ref="MQS20:MRX20"/>
    <mergeCell ref="MRY20:MTD20"/>
    <mergeCell ref="MTE20:MUJ20"/>
    <mergeCell ref="MUK20:MVP20"/>
    <mergeCell ref="MVQ20:MWV20"/>
    <mergeCell ref="NLQ20:NMV20"/>
    <mergeCell ref="NMW20:NOB20"/>
    <mergeCell ref="NOC20:NPH20"/>
    <mergeCell ref="NPI20:NQN20"/>
    <mergeCell ref="NQO20:NRT20"/>
    <mergeCell ref="NRU20:NSZ20"/>
    <mergeCell ref="NEG20:NFL20"/>
    <mergeCell ref="NFM20:NGR20"/>
    <mergeCell ref="NGS20:NHX20"/>
    <mergeCell ref="NHY20:NJD20"/>
    <mergeCell ref="NJE20:NKJ20"/>
    <mergeCell ref="NKK20:NLP20"/>
    <mergeCell ref="OAK20:OBP20"/>
    <mergeCell ref="OBQ20:OCV20"/>
    <mergeCell ref="OCW20:OEB20"/>
    <mergeCell ref="OEC20:OFH20"/>
    <mergeCell ref="OFI20:OGN20"/>
    <mergeCell ref="OGO20:OHT20"/>
    <mergeCell ref="NTA20:NUF20"/>
    <mergeCell ref="NUG20:NVL20"/>
    <mergeCell ref="NVM20:NWR20"/>
    <mergeCell ref="NWS20:NXX20"/>
    <mergeCell ref="NXY20:NZD20"/>
    <mergeCell ref="NZE20:OAJ20"/>
    <mergeCell ref="OPE20:OQJ20"/>
    <mergeCell ref="OQK20:ORP20"/>
    <mergeCell ref="ORQ20:OSV20"/>
    <mergeCell ref="OSW20:OUB20"/>
    <mergeCell ref="OUC20:OVH20"/>
    <mergeCell ref="OVI20:OWN20"/>
    <mergeCell ref="OHU20:OIZ20"/>
    <mergeCell ref="OJA20:OKF20"/>
    <mergeCell ref="OKG20:OLL20"/>
    <mergeCell ref="OLM20:OMR20"/>
    <mergeCell ref="OMS20:ONX20"/>
    <mergeCell ref="ONY20:OPD20"/>
    <mergeCell ref="PDY20:PFD20"/>
    <mergeCell ref="PFE20:PGJ20"/>
    <mergeCell ref="PGK20:PHP20"/>
    <mergeCell ref="PHQ20:PIV20"/>
    <mergeCell ref="PIW20:PKB20"/>
    <mergeCell ref="PKC20:PLH20"/>
    <mergeCell ref="OWO20:OXT20"/>
    <mergeCell ref="OXU20:OYZ20"/>
    <mergeCell ref="OZA20:PAF20"/>
    <mergeCell ref="PAG20:PBL20"/>
    <mergeCell ref="PBM20:PCR20"/>
    <mergeCell ref="PCS20:PDX20"/>
    <mergeCell ref="PSS20:PTX20"/>
    <mergeCell ref="PTY20:PVD20"/>
    <mergeCell ref="PVE20:PWJ20"/>
    <mergeCell ref="PWK20:PXP20"/>
    <mergeCell ref="PXQ20:PYV20"/>
    <mergeCell ref="PYW20:QAB20"/>
    <mergeCell ref="PLI20:PMN20"/>
    <mergeCell ref="PMO20:PNT20"/>
    <mergeCell ref="PNU20:POZ20"/>
    <mergeCell ref="PPA20:PQF20"/>
    <mergeCell ref="PQG20:PRL20"/>
    <mergeCell ref="PRM20:PSR20"/>
    <mergeCell ref="QHM20:QIR20"/>
    <mergeCell ref="QIS20:QJX20"/>
    <mergeCell ref="QJY20:QLD20"/>
    <mergeCell ref="QLE20:QMJ20"/>
    <mergeCell ref="QMK20:QNP20"/>
    <mergeCell ref="QNQ20:QOV20"/>
    <mergeCell ref="QAC20:QBH20"/>
    <mergeCell ref="QBI20:QCN20"/>
    <mergeCell ref="QCO20:QDT20"/>
    <mergeCell ref="QDU20:QEZ20"/>
    <mergeCell ref="QFA20:QGF20"/>
    <mergeCell ref="QGG20:QHL20"/>
    <mergeCell ref="QWG20:QXL20"/>
    <mergeCell ref="QXM20:QYR20"/>
    <mergeCell ref="QYS20:QZX20"/>
    <mergeCell ref="QZY20:RBD20"/>
    <mergeCell ref="RBE20:RCJ20"/>
    <mergeCell ref="RCK20:RDP20"/>
    <mergeCell ref="QOW20:QQB20"/>
    <mergeCell ref="QQC20:QRH20"/>
    <mergeCell ref="QRI20:QSN20"/>
    <mergeCell ref="QSO20:QTT20"/>
    <mergeCell ref="QTU20:QUZ20"/>
    <mergeCell ref="QVA20:QWF20"/>
    <mergeCell ref="RLA20:RMF20"/>
    <mergeCell ref="RMG20:RNL20"/>
    <mergeCell ref="RNM20:ROR20"/>
    <mergeCell ref="ROS20:RPX20"/>
    <mergeCell ref="RPY20:RRD20"/>
    <mergeCell ref="RRE20:RSJ20"/>
    <mergeCell ref="RDQ20:REV20"/>
    <mergeCell ref="REW20:RGB20"/>
    <mergeCell ref="RGC20:RHH20"/>
    <mergeCell ref="RHI20:RIN20"/>
    <mergeCell ref="RIO20:RJT20"/>
    <mergeCell ref="RJU20:RKZ20"/>
    <mergeCell ref="RZU20:SAZ20"/>
    <mergeCell ref="SBA20:SCF20"/>
    <mergeCell ref="SCG20:SDL20"/>
    <mergeCell ref="SDM20:SER20"/>
    <mergeCell ref="SES20:SFX20"/>
    <mergeCell ref="SFY20:SHD20"/>
    <mergeCell ref="RSK20:RTP20"/>
    <mergeCell ref="RTQ20:RUV20"/>
    <mergeCell ref="RUW20:RWB20"/>
    <mergeCell ref="RWC20:RXH20"/>
    <mergeCell ref="RXI20:RYN20"/>
    <mergeCell ref="RYO20:RZT20"/>
    <mergeCell ref="SOO20:SPT20"/>
    <mergeCell ref="SPU20:SQZ20"/>
    <mergeCell ref="SRA20:SSF20"/>
    <mergeCell ref="SSG20:STL20"/>
    <mergeCell ref="STM20:SUR20"/>
    <mergeCell ref="SUS20:SVX20"/>
    <mergeCell ref="SHE20:SIJ20"/>
    <mergeCell ref="SIK20:SJP20"/>
    <mergeCell ref="SJQ20:SKV20"/>
    <mergeCell ref="SKW20:SMB20"/>
    <mergeCell ref="SMC20:SNH20"/>
    <mergeCell ref="SNI20:SON20"/>
    <mergeCell ref="TDI20:TEN20"/>
    <mergeCell ref="TEO20:TFT20"/>
    <mergeCell ref="TFU20:TGZ20"/>
    <mergeCell ref="THA20:TIF20"/>
    <mergeCell ref="TIG20:TJL20"/>
    <mergeCell ref="TJM20:TKR20"/>
    <mergeCell ref="SVY20:SXD20"/>
    <mergeCell ref="SXE20:SYJ20"/>
    <mergeCell ref="SYK20:SZP20"/>
    <mergeCell ref="SZQ20:TAV20"/>
    <mergeCell ref="TAW20:TCB20"/>
    <mergeCell ref="TCC20:TDH20"/>
    <mergeCell ref="TSC20:TTH20"/>
    <mergeCell ref="TTI20:TUN20"/>
    <mergeCell ref="TUO20:TVT20"/>
    <mergeCell ref="TVU20:TWZ20"/>
    <mergeCell ref="TXA20:TYF20"/>
    <mergeCell ref="TYG20:TZL20"/>
    <mergeCell ref="TKS20:TLX20"/>
    <mergeCell ref="TLY20:TND20"/>
    <mergeCell ref="TNE20:TOJ20"/>
    <mergeCell ref="TOK20:TPP20"/>
    <mergeCell ref="TPQ20:TQV20"/>
    <mergeCell ref="TQW20:TSB20"/>
    <mergeCell ref="UGW20:UIB20"/>
    <mergeCell ref="UIC20:UJH20"/>
    <mergeCell ref="UJI20:UKN20"/>
    <mergeCell ref="UKO20:ULT20"/>
    <mergeCell ref="ULU20:UMZ20"/>
    <mergeCell ref="UNA20:UOF20"/>
    <mergeCell ref="TZM20:UAR20"/>
    <mergeCell ref="UAS20:UBX20"/>
    <mergeCell ref="UBY20:UDD20"/>
    <mergeCell ref="UDE20:UEJ20"/>
    <mergeCell ref="UEK20:UFP20"/>
    <mergeCell ref="UFQ20:UGV20"/>
    <mergeCell ref="UVQ20:UWV20"/>
    <mergeCell ref="UWW20:UYB20"/>
    <mergeCell ref="UYC20:UZH20"/>
    <mergeCell ref="UZI20:VAN20"/>
    <mergeCell ref="VAO20:VBT20"/>
    <mergeCell ref="VBU20:VCZ20"/>
    <mergeCell ref="UOG20:UPL20"/>
    <mergeCell ref="UPM20:UQR20"/>
    <mergeCell ref="UQS20:URX20"/>
    <mergeCell ref="URY20:UTD20"/>
    <mergeCell ref="UTE20:UUJ20"/>
    <mergeCell ref="UUK20:UVP20"/>
    <mergeCell ref="VKK20:VLP20"/>
    <mergeCell ref="VLQ20:VMV20"/>
    <mergeCell ref="VMW20:VOB20"/>
    <mergeCell ref="VOC20:VPH20"/>
    <mergeCell ref="VPI20:VQN20"/>
    <mergeCell ref="VQO20:VRT20"/>
    <mergeCell ref="VDA20:VEF20"/>
    <mergeCell ref="VEG20:VFL20"/>
    <mergeCell ref="VFM20:VGR20"/>
    <mergeCell ref="VGS20:VHX20"/>
    <mergeCell ref="VHY20:VJD20"/>
    <mergeCell ref="VJE20:VKJ20"/>
    <mergeCell ref="WBQ20:WCV20"/>
    <mergeCell ref="WCW20:WEB20"/>
    <mergeCell ref="WEC20:WFH20"/>
    <mergeCell ref="WFI20:WGN20"/>
    <mergeCell ref="VRU20:VSZ20"/>
    <mergeCell ref="VTA20:VUF20"/>
    <mergeCell ref="VUG20:VVL20"/>
    <mergeCell ref="VVM20:VWR20"/>
    <mergeCell ref="VWS20:VXX20"/>
    <mergeCell ref="VXY20:VZD20"/>
    <mergeCell ref="XCS20:XDX20"/>
    <mergeCell ref="XDY20:XFD20"/>
    <mergeCell ref="A36:AF36"/>
    <mergeCell ref="A57:AF57"/>
    <mergeCell ref="WVI20:WWN20"/>
    <mergeCell ref="WWO20:WXT20"/>
    <mergeCell ref="WXU20:WYZ20"/>
    <mergeCell ref="WZA20:XAF20"/>
    <mergeCell ref="XAG20:XBL20"/>
    <mergeCell ref="XBM20:XCR20"/>
    <mergeCell ref="WNY20:WPD20"/>
    <mergeCell ref="WPE20:WQJ20"/>
    <mergeCell ref="WQK20:WRP20"/>
    <mergeCell ref="WRQ20:WSV20"/>
    <mergeCell ref="WSW20:WUB20"/>
    <mergeCell ref="WUC20:WVH20"/>
    <mergeCell ref="WGO20:WHT20"/>
    <mergeCell ref="WHU20:WIZ20"/>
    <mergeCell ref="WJA20:WKF20"/>
    <mergeCell ref="WKG20:WLL20"/>
    <mergeCell ref="WLM20:WMR20"/>
    <mergeCell ref="WMS20:WNX20"/>
    <mergeCell ref="VZE20:WAJ20"/>
    <mergeCell ref="WAK20:WBP20"/>
  </mergeCells>
  <pageMargins left="0.7" right="0.7" top="0.75" bottom="0.75" header="0.3" footer="0.3"/>
  <pageSetup paperSize="9"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55AF5-C300-4A1D-A843-CE7F45D25D5A}">
  <sheetPr>
    <tabColor theme="5" tint="0.59999389629810485"/>
  </sheetPr>
  <dimension ref="A1:AG71"/>
  <sheetViews>
    <sheetView showGridLines="0" topLeftCell="A6" zoomScale="70" zoomScaleNormal="70" workbookViewId="0">
      <selection activeCell="C39" sqref="C39"/>
    </sheetView>
  </sheetViews>
  <sheetFormatPr defaultColWidth="8.6640625" defaultRowHeight="11.4" x14ac:dyDescent="0.2"/>
  <cols>
    <col min="1" max="1" width="59.33203125" style="1" customWidth="1"/>
    <col min="2" max="2" width="16.33203125" style="7" bestFit="1" customWidth="1"/>
    <col min="3" max="12" width="18.6640625" style="3" customWidth="1"/>
    <col min="13" max="13" width="14.6640625" style="3" bestFit="1" customWidth="1"/>
    <col min="14" max="14" width="17.33203125" style="3" customWidth="1"/>
    <col min="15" max="16" width="18" style="3" customWidth="1"/>
    <col min="17" max="18" width="16.6640625" style="3" customWidth="1"/>
    <col min="19" max="19" width="14.6640625" style="3" customWidth="1"/>
    <col min="20" max="32" width="14.6640625" style="1" customWidth="1"/>
    <col min="33" max="16384" width="8.6640625" style="1"/>
  </cols>
  <sheetData>
    <row r="1" spans="1:32" s="6" customFormat="1" ht="14.25" customHeight="1" x14ac:dyDescent="0.2">
      <c r="A1" s="8"/>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row>
    <row r="2" spans="1:32" s="5" customFormat="1" ht="28.2" customHeight="1" x14ac:dyDescent="0.3">
      <c r="A2" s="10" t="s">
        <v>118</v>
      </c>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row>
    <row r="3" spans="1:32" s="6" customFormat="1" ht="14.25" customHeight="1" x14ac:dyDescent="0.2">
      <c r="A3" s="8"/>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row>
    <row r="4" spans="1:32" s="6" customFormat="1" ht="14.25" customHeight="1" x14ac:dyDescent="0.2">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row>
    <row r="5" spans="1:32" s="6" customFormat="1" ht="14.25" customHeight="1" x14ac:dyDescent="0.2">
      <c r="A5" s="12" t="s">
        <v>119</v>
      </c>
      <c r="B5" s="13"/>
      <c r="C5" s="12"/>
      <c r="D5" s="12"/>
      <c r="E5" s="12"/>
      <c r="F5" s="12"/>
      <c r="G5" s="12"/>
      <c r="H5" s="12"/>
      <c r="I5" s="12"/>
      <c r="J5" s="12"/>
      <c r="K5" s="12"/>
      <c r="L5" s="14"/>
      <c r="M5" s="14"/>
      <c r="N5" s="14"/>
      <c r="O5" s="14"/>
      <c r="P5" s="5"/>
      <c r="Q5" s="5"/>
      <c r="R5" s="5"/>
      <c r="S5" s="5"/>
      <c r="T5" s="5"/>
      <c r="U5" s="5"/>
      <c r="V5" s="5"/>
      <c r="W5" s="5"/>
      <c r="X5" s="5"/>
      <c r="Y5" s="5"/>
      <c r="Z5" s="5"/>
      <c r="AA5" s="5"/>
      <c r="AB5" s="5"/>
      <c r="AC5" s="5"/>
      <c r="AD5" s="5"/>
      <c r="AE5" s="5"/>
      <c r="AF5" s="5"/>
    </row>
    <row r="6" spans="1:32" s="6" customFormat="1" ht="14.25" customHeight="1" x14ac:dyDescent="0.2">
      <c r="A6" s="404" t="s">
        <v>120</v>
      </c>
      <c r="B6" s="405"/>
      <c r="C6" s="405"/>
      <c r="D6" s="405"/>
      <c r="E6" s="405"/>
      <c r="F6" s="405"/>
      <c r="G6" s="405"/>
      <c r="H6" s="405"/>
      <c r="I6" s="405"/>
      <c r="J6" s="405"/>
      <c r="K6" s="405"/>
      <c r="L6" s="405"/>
      <c r="M6" s="405"/>
      <c r="N6" s="405"/>
      <c r="O6" s="405"/>
      <c r="P6" s="5"/>
      <c r="Q6" s="5"/>
      <c r="R6" s="5"/>
      <c r="S6" s="5"/>
      <c r="T6" s="5"/>
      <c r="U6" s="5"/>
      <c r="V6" s="5"/>
      <c r="W6" s="5"/>
      <c r="X6" s="5"/>
      <c r="Y6" s="5"/>
      <c r="Z6" s="5"/>
      <c r="AA6" s="5"/>
      <c r="AB6" s="5"/>
      <c r="AC6" s="5"/>
      <c r="AD6" s="5"/>
      <c r="AE6" s="5"/>
      <c r="AF6" s="5"/>
    </row>
    <row r="7" spans="1:32" s="6" customFormat="1" ht="14.25" customHeight="1" x14ac:dyDescent="0.2">
      <c r="A7" s="16"/>
      <c r="B7" s="17"/>
      <c r="C7" s="18"/>
      <c r="D7" s="19"/>
      <c r="E7" s="18"/>
      <c r="F7" s="18"/>
      <c r="G7" s="18"/>
      <c r="H7" s="18"/>
      <c r="I7" s="18"/>
      <c r="J7" s="18"/>
      <c r="K7" s="18"/>
      <c r="L7" s="20"/>
      <c r="M7" s="20"/>
      <c r="N7" s="20"/>
      <c r="O7" s="20"/>
      <c r="P7" s="5"/>
      <c r="Q7" s="5"/>
      <c r="R7" s="5"/>
      <c r="S7" s="5"/>
      <c r="T7" s="5"/>
      <c r="U7" s="5"/>
      <c r="V7" s="5"/>
      <c r="W7" s="5"/>
      <c r="X7" s="5"/>
      <c r="Y7" s="5"/>
      <c r="Z7" s="5"/>
      <c r="AA7" s="5"/>
      <c r="AB7" s="5"/>
      <c r="AC7" s="5"/>
      <c r="AD7" s="5"/>
      <c r="AE7" s="5"/>
      <c r="AF7" s="5"/>
    </row>
    <row r="8" spans="1:32" s="6" customFormat="1" ht="14.25" customHeight="1" x14ac:dyDescent="0.2">
      <c r="A8" s="22" t="s">
        <v>121</v>
      </c>
      <c r="B8" s="23" t="s">
        <v>122</v>
      </c>
      <c r="C8" s="22" t="s">
        <v>81</v>
      </c>
      <c r="D8" s="24" t="s">
        <v>17</v>
      </c>
      <c r="E8" s="25"/>
      <c r="F8" s="25"/>
      <c r="G8" s="25"/>
      <c r="H8" s="25"/>
      <c r="I8" s="25"/>
      <c r="J8" s="25"/>
      <c r="K8" s="25"/>
      <c r="L8" s="26"/>
      <c r="M8" s="26"/>
      <c r="N8" s="26"/>
      <c r="O8" s="26"/>
      <c r="P8" s="5"/>
      <c r="Q8" s="5"/>
      <c r="R8" s="5"/>
      <c r="S8" s="5"/>
      <c r="T8" s="5"/>
      <c r="U8" s="5"/>
      <c r="V8" s="5"/>
      <c r="W8" s="5"/>
      <c r="X8" s="5"/>
      <c r="Y8" s="5"/>
      <c r="Z8" s="5"/>
      <c r="AA8" s="5"/>
      <c r="AB8" s="5"/>
      <c r="AC8" s="5"/>
      <c r="AD8" s="5"/>
      <c r="AE8" s="5"/>
      <c r="AF8" s="5"/>
    </row>
    <row r="9" spans="1:32" s="6" customFormat="1" ht="14.25" customHeight="1" x14ac:dyDescent="0.2">
      <c r="A9" s="16" t="s">
        <v>123</v>
      </c>
      <c r="B9" s="28">
        <v>56.22</v>
      </c>
      <c r="C9" s="18" t="s">
        <v>124</v>
      </c>
      <c r="D9" s="19"/>
      <c r="E9" s="18"/>
      <c r="F9" s="18"/>
      <c r="G9" s="18"/>
      <c r="H9" s="18"/>
      <c r="I9" s="18"/>
      <c r="J9" s="18"/>
      <c r="K9" s="18"/>
      <c r="L9" s="20"/>
      <c r="M9" s="20"/>
      <c r="N9" s="20"/>
      <c r="O9" s="20"/>
      <c r="P9" s="5"/>
      <c r="Q9" s="5"/>
      <c r="R9" s="5"/>
      <c r="S9" s="5"/>
      <c r="T9" s="5"/>
      <c r="U9" s="5"/>
      <c r="V9" s="5"/>
      <c r="W9" s="5"/>
      <c r="X9" s="5"/>
      <c r="Y9" s="5"/>
      <c r="Z9" s="5"/>
      <c r="AA9" s="5"/>
      <c r="AB9" s="5"/>
      <c r="AC9" s="5"/>
      <c r="AD9" s="5"/>
      <c r="AE9" s="5"/>
      <c r="AF9" s="5"/>
    </row>
    <row r="10" spans="1:32" s="6" customFormat="1" ht="14.25" customHeight="1" x14ac:dyDescent="0.2">
      <c r="A10" s="16" t="s">
        <v>123</v>
      </c>
      <c r="B10" s="17">
        <f>B9*0.0036</f>
        <v>0.20239199999999999</v>
      </c>
      <c r="C10" s="18" t="s">
        <v>125</v>
      </c>
      <c r="D10" s="19" t="s">
        <v>126</v>
      </c>
      <c r="E10" s="18"/>
      <c r="F10" s="18"/>
      <c r="G10" s="18"/>
      <c r="H10" s="18"/>
      <c r="I10" s="18"/>
      <c r="J10" s="18"/>
      <c r="K10" s="18"/>
      <c r="L10" s="20"/>
      <c r="M10" s="20"/>
      <c r="N10" s="20"/>
      <c r="O10" s="20"/>
      <c r="P10" s="5"/>
      <c r="Q10" s="5"/>
      <c r="R10" s="5"/>
      <c r="S10" s="5"/>
      <c r="T10" s="5"/>
      <c r="U10" s="5"/>
      <c r="V10" s="5"/>
      <c r="W10" s="5"/>
      <c r="X10" s="5"/>
      <c r="Y10" s="5"/>
      <c r="Z10" s="5"/>
      <c r="AA10" s="5"/>
      <c r="AB10" s="5"/>
      <c r="AC10" s="5"/>
      <c r="AD10" s="5"/>
      <c r="AE10" s="5"/>
      <c r="AF10" s="5"/>
    </row>
    <row r="11" spans="1:32" s="6" customFormat="1" ht="14.25" customHeight="1" x14ac:dyDescent="0.2">
      <c r="A11" s="16" t="s">
        <v>127</v>
      </c>
      <c r="B11" s="29">
        <v>0.9</v>
      </c>
      <c r="C11" s="18"/>
      <c r="D11" s="19" t="s">
        <v>128</v>
      </c>
      <c r="E11" s="18"/>
      <c r="F11" s="18"/>
      <c r="G11" s="18"/>
      <c r="H11" s="18"/>
      <c r="I11" s="18"/>
      <c r="J11" s="18"/>
      <c r="K11" s="18"/>
      <c r="L11" s="20"/>
      <c r="M11" s="20"/>
      <c r="N11" s="20"/>
      <c r="O11" s="20"/>
      <c r="P11" s="5"/>
      <c r="Q11" s="5"/>
      <c r="R11" s="5"/>
      <c r="S11" s="5"/>
      <c r="T11" s="5"/>
      <c r="U11" s="5"/>
      <c r="V11" s="5"/>
      <c r="W11" s="5"/>
      <c r="X11" s="5"/>
      <c r="Y11" s="5"/>
      <c r="Z11" s="5"/>
      <c r="AA11" s="5"/>
      <c r="AB11" s="5"/>
      <c r="AC11" s="5"/>
      <c r="AD11" s="5"/>
      <c r="AE11" s="5"/>
      <c r="AF11" s="5"/>
    </row>
    <row r="12" spans="1:32" s="6" customFormat="1" ht="14.25" customHeight="1" x14ac:dyDescent="0.2">
      <c r="A12" s="16" t="s">
        <v>129</v>
      </c>
      <c r="B12" s="17">
        <f>B10/B11</f>
        <v>0.22487999999999997</v>
      </c>
      <c r="C12" s="18" t="s">
        <v>130</v>
      </c>
      <c r="D12" s="19" t="s">
        <v>131</v>
      </c>
      <c r="E12" s="18"/>
      <c r="F12" s="18"/>
      <c r="G12" s="18"/>
      <c r="H12" s="18"/>
      <c r="I12" s="18"/>
      <c r="J12" s="18"/>
      <c r="K12" s="18"/>
      <c r="L12" s="375"/>
      <c r="M12" s="20"/>
      <c r="N12" s="20"/>
      <c r="O12" s="20"/>
      <c r="P12" s="5"/>
      <c r="Q12" s="5"/>
      <c r="R12" s="5"/>
      <c r="S12" s="5"/>
      <c r="T12" s="5"/>
      <c r="U12" s="5"/>
      <c r="V12" s="5"/>
      <c r="W12" s="5"/>
      <c r="X12" s="5"/>
      <c r="Y12" s="5"/>
      <c r="Z12" s="5"/>
      <c r="AA12" s="5"/>
      <c r="AB12" s="5"/>
      <c r="AC12" s="5"/>
      <c r="AD12" s="5"/>
      <c r="AE12" s="5"/>
      <c r="AF12" s="5"/>
    </row>
    <row r="13" spans="1:32" s="6" customFormat="1" ht="14.25" customHeight="1" x14ac:dyDescent="0.2">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row>
    <row r="14" spans="1:32" s="11" customFormat="1" ht="14.25" customHeight="1" thickBot="1" x14ac:dyDescent="0.35">
      <c r="A14" s="52"/>
      <c r="B14" s="53"/>
      <c r="C14" s="53"/>
      <c r="D14" s="53"/>
      <c r="E14" s="53"/>
      <c r="F14" s="53"/>
      <c r="G14" s="53"/>
      <c r="H14" s="53"/>
      <c r="I14" s="53"/>
      <c r="J14" s="53"/>
      <c r="K14" s="53"/>
      <c r="L14" s="53"/>
      <c r="M14" s="53"/>
      <c r="N14" s="53"/>
      <c r="O14" s="53"/>
      <c r="P14" s="53"/>
      <c r="Q14" s="53" t="s">
        <v>16</v>
      </c>
      <c r="R14" s="53"/>
      <c r="S14" s="53"/>
      <c r="T14" s="53"/>
      <c r="U14" s="53"/>
      <c r="V14" s="53"/>
      <c r="W14" s="53"/>
      <c r="X14" s="53"/>
      <c r="Y14" s="53"/>
      <c r="Z14" s="53"/>
      <c r="AA14" s="53"/>
      <c r="AB14" s="53"/>
      <c r="AC14" s="53"/>
      <c r="AD14" s="53"/>
      <c r="AE14" s="53"/>
      <c r="AF14" s="53"/>
    </row>
    <row r="15" spans="1:32" s="11" customFormat="1" ht="14.25" customHeight="1" x14ac:dyDescent="0.3">
      <c r="B15" s="33"/>
      <c r="C15" s="31"/>
      <c r="D15" s="31"/>
      <c r="E15" s="48"/>
      <c r="F15" s="31"/>
      <c r="G15" s="31"/>
      <c r="H15" s="31"/>
      <c r="I15" s="31"/>
      <c r="J15" s="31"/>
      <c r="K15" s="31"/>
      <c r="L15" s="31"/>
      <c r="M15" s="31"/>
      <c r="N15" s="31"/>
      <c r="O15" s="31"/>
      <c r="P15" s="31"/>
      <c r="Q15" s="31"/>
      <c r="R15" s="31"/>
      <c r="S15" s="31"/>
    </row>
    <row r="16" spans="1:32" s="11" customFormat="1" ht="14.25" customHeight="1" x14ac:dyDescent="0.3">
      <c r="A16" s="12" t="s">
        <v>132</v>
      </c>
      <c r="B16" s="33"/>
      <c r="C16" s="31"/>
      <c r="D16" s="31"/>
      <c r="E16" s="48"/>
      <c r="F16" s="31"/>
      <c r="G16" s="31"/>
      <c r="H16" s="31"/>
      <c r="I16" s="31"/>
      <c r="J16" s="31"/>
      <c r="K16" s="31"/>
      <c r="L16" s="31"/>
      <c r="M16" s="31"/>
      <c r="N16" s="31"/>
      <c r="O16" s="31"/>
      <c r="P16" s="31"/>
      <c r="Q16" s="31"/>
      <c r="R16" s="31"/>
      <c r="S16" s="31"/>
    </row>
    <row r="17" spans="1:33" s="11" customFormat="1" ht="14.25" customHeight="1" x14ac:dyDescent="0.3">
      <c r="A17" s="403" t="s">
        <v>99</v>
      </c>
      <c r="B17" s="403"/>
      <c r="C17" s="403"/>
      <c r="D17" s="403"/>
      <c r="E17" s="403"/>
      <c r="F17" s="403"/>
      <c r="G17" s="403"/>
      <c r="H17" s="403"/>
      <c r="I17" s="403"/>
      <c r="J17" s="403"/>
      <c r="K17" s="403"/>
      <c r="L17" s="403"/>
      <c r="M17" s="403"/>
      <c r="N17" s="403"/>
      <c r="O17" s="403"/>
      <c r="P17" s="403"/>
      <c r="Q17" s="403"/>
      <c r="R17" s="403"/>
      <c r="S17" s="403"/>
      <c r="T17" s="403"/>
      <c r="U17" s="403"/>
      <c r="V17" s="403"/>
      <c r="W17" s="403"/>
      <c r="X17" s="403"/>
      <c r="Y17" s="403"/>
      <c r="Z17" s="403"/>
      <c r="AA17" s="403"/>
      <c r="AB17" s="403"/>
      <c r="AC17" s="403"/>
      <c r="AD17" s="403"/>
      <c r="AE17" s="403"/>
      <c r="AF17" s="403"/>
    </row>
    <row r="18" spans="1:33" s="11" customFormat="1" ht="5.0999999999999996" customHeight="1" x14ac:dyDescent="0.3">
      <c r="A18" s="40"/>
      <c r="B18" s="41"/>
      <c r="C18" s="41"/>
      <c r="D18" s="41"/>
      <c r="E18" s="41"/>
      <c r="F18" s="41"/>
      <c r="G18" s="41"/>
      <c r="H18" s="41"/>
      <c r="I18" s="41"/>
      <c r="J18" s="41"/>
      <c r="K18" s="41"/>
      <c r="L18" s="41"/>
      <c r="M18" s="41"/>
      <c r="N18" s="41"/>
      <c r="O18" s="41"/>
      <c r="P18" s="41"/>
      <c r="Q18" s="41"/>
      <c r="R18" s="41"/>
      <c r="S18" s="41"/>
      <c r="T18" s="41"/>
    </row>
    <row r="19" spans="1:33" s="42" customFormat="1" ht="14.25" customHeight="1" x14ac:dyDescent="0.3">
      <c r="B19" s="43"/>
      <c r="C19" s="43"/>
      <c r="D19" s="43"/>
      <c r="E19" s="43"/>
      <c r="F19" s="43"/>
      <c r="G19" s="43"/>
      <c r="H19" s="43"/>
      <c r="I19" s="43"/>
      <c r="J19" s="43"/>
      <c r="K19" s="43"/>
      <c r="L19" s="43"/>
      <c r="M19" s="43"/>
      <c r="N19" s="43"/>
      <c r="O19" s="43"/>
      <c r="P19" s="145"/>
      <c r="Q19" s="43"/>
      <c r="R19" s="43"/>
      <c r="S19" s="43"/>
      <c r="T19" s="43"/>
      <c r="U19" s="43"/>
    </row>
    <row r="20" spans="1:33" ht="14.25" customHeight="1" x14ac:dyDescent="0.2">
      <c r="A20" s="57" t="s">
        <v>133</v>
      </c>
      <c r="B20" s="2" t="str">
        <f>DASHBOARD!$C$28</f>
        <v>BASELOAD</v>
      </c>
    </row>
    <row r="21" spans="1:33" ht="14.25" customHeight="1" x14ac:dyDescent="0.2">
      <c r="B21" s="2"/>
    </row>
    <row r="22" spans="1:33" ht="14.25" customHeight="1" x14ac:dyDescent="0.2">
      <c r="A22" s="57" t="s">
        <v>134</v>
      </c>
      <c r="B22" s="2"/>
    </row>
    <row r="23" spans="1:33" ht="14.25" customHeight="1" x14ac:dyDescent="0.2">
      <c r="B23" s="2"/>
    </row>
    <row r="24" spans="1:33" s="4" customFormat="1" ht="14.25" customHeight="1" x14ac:dyDescent="0.3">
      <c r="A24" s="54" t="s">
        <v>135</v>
      </c>
      <c r="B24" s="58" t="s">
        <v>81</v>
      </c>
      <c r="C24" s="154" t="s">
        <v>136</v>
      </c>
      <c r="D24" s="154" t="s">
        <v>137</v>
      </c>
      <c r="E24" s="154" t="s">
        <v>138</v>
      </c>
      <c r="F24" s="154" t="s">
        <v>139</v>
      </c>
      <c r="G24" s="154" t="s">
        <v>140</v>
      </c>
      <c r="H24" s="154" t="s">
        <v>141</v>
      </c>
      <c r="I24" s="154" t="s">
        <v>142</v>
      </c>
      <c r="J24" s="154" t="s">
        <v>143</v>
      </c>
      <c r="K24" s="154" t="s">
        <v>144</v>
      </c>
      <c r="L24" s="154" t="s">
        <v>145</v>
      </c>
      <c r="M24" s="154" t="s">
        <v>146</v>
      </c>
      <c r="N24" s="154" t="s">
        <v>147</v>
      </c>
      <c r="O24" s="154" t="s">
        <v>148</v>
      </c>
      <c r="P24" s="154" t="s">
        <v>149</v>
      </c>
      <c r="Q24" s="154" t="s">
        <v>150</v>
      </c>
      <c r="R24" s="154" t="s">
        <v>151</v>
      </c>
      <c r="S24" s="154" t="s">
        <v>152</v>
      </c>
      <c r="T24" s="154" t="s">
        <v>153</v>
      </c>
      <c r="U24" s="154" t="s">
        <v>154</v>
      </c>
      <c r="V24" s="154" t="s">
        <v>155</v>
      </c>
      <c r="W24" s="154" t="s">
        <v>156</v>
      </c>
      <c r="X24" s="154" t="s">
        <v>157</v>
      </c>
      <c r="Y24" s="154" t="s">
        <v>158</v>
      </c>
      <c r="Z24" s="154" t="s">
        <v>159</v>
      </c>
      <c r="AA24" s="154" t="s">
        <v>160</v>
      </c>
      <c r="AB24" s="154" t="s">
        <v>161</v>
      </c>
      <c r="AC24" s="154" t="s">
        <v>162</v>
      </c>
      <c r="AD24" s="154" t="s">
        <v>163</v>
      </c>
      <c r="AE24" s="154" t="s">
        <v>164</v>
      </c>
      <c r="AF24" s="154" t="s">
        <v>165</v>
      </c>
      <c r="AG24" s="157"/>
    </row>
    <row r="25" spans="1:33" s="2" customFormat="1" ht="14.25" customHeight="1" x14ac:dyDescent="0.3">
      <c r="A25" s="18" t="s">
        <v>82</v>
      </c>
      <c r="B25" s="33" t="s">
        <v>90</v>
      </c>
      <c r="C25" s="50" cm="1">
        <f t="array" ref="C25">_xlfn.IFS($B$20=Verbruiksprofielen!$A$5,Verbruiksprofielen!E8,Achtergrondparameters!$B$20=Verbruiksprofielen!$A$27,Verbruiksprofielen!E30,Achtergrondparameters!$B$20=Verbruiksprofielen!$A$49,Verbruiksprofielen!E52,Achtergrondparameters!$B$20=Verbruiksprofielen!$A$71,Verbruiksprofielen!E74,Achtergrondparameters!$B$20=Verbruiksprofielen!$A$93,Verbruiksprofielen!E96,Achtergrondparameters!$B$20=Verbruiksprofielen!$A$115,Verbruiksprofielen!E118,Achtergrondparameters!$B$20=Verbruiksprofielen!$A$136,Verbruiksprofielen!E139,Achtergrondparameters!$B$20=Verbruiksprofielen!$A$157,Verbruiksprofielen!E160)</f>
        <v>3.2000000000000001E-2</v>
      </c>
      <c r="D25" s="50" cm="1">
        <f t="array" ref="D25">_xlfn.IFS($B$20=Verbruiksprofielen!$A$5,Verbruiksprofielen!F8,Achtergrondparameters!$B$20=Verbruiksprofielen!$A$27,Verbruiksprofielen!F30,Achtergrondparameters!$B$20=Verbruiksprofielen!$A$49,Verbruiksprofielen!F52,Achtergrondparameters!$B$20=Verbruiksprofielen!$A$71,Verbruiksprofielen!F74,Achtergrondparameters!$B$20=Verbruiksprofielen!$A$93,Verbruiksprofielen!F96,Achtergrondparameters!$B$20=Verbruiksprofielen!$A$115,Verbruiksprofielen!F118,Achtergrondparameters!$B$20=Verbruiksprofielen!$A$136,Verbruiksprofielen!F139,Achtergrondparameters!$B$20=Verbruiksprofielen!$A$157,Verbruiksprofielen!F160)</f>
        <v>3.2000000000000001E-2</v>
      </c>
      <c r="E25" s="50" cm="1">
        <f t="array" ref="E25">_xlfn.IFS($B$20=Verbruiksprofielen!$A$5,Verbruiksprofielen!G8,Achtergrondparameters!$B$20=Verbruiksprofielen!$A$27,Verbruiksprofielen!G30,Achtergrondparameters!$B$20=Verbruiksprofielen!$A$49,Verbruiksprofielen!G52,Achtergrondparameters!$B$20=Verbruiksprofielen!$A$71,Verbruiksprofielen!G74,Achtergrondparameters!$B$20=Verbruiksprofielen!$A$93,Verbruiksprofielen!G96,Achtergrondparameters!$B$20=Verbruiksprofielen!$A$115,Verbruiksprofielen!G118,Achtergrondparameters!$B$20=Verbruiksprofielen!$A$136,Verbruiksprofielen!G139,Achtergrondparameters!$B$20=Verbruiksprofielen!$A$157,Verbruiksprofielen!G160)</f>
        <v>3.2000000000000001E-2</v>
      </c>
      <c r="F25" s="50" cm="1">
        <f t="array" ref="F25">_xlfn.IFS($B$20=Verbruiksprofielen!$A$5,Verbruiksprofielen!H8,Achtergrondparameters!$B$20=Verbruiksprofielen!$A$27,Verbruiksprofielen!H30,Achtergrondparameters!$B$20=Verbruiksprofielen!$A$49,Verbruiksprofielen!H52,Achtergrondparameters!$B$20=Verbruiksprofielen!$A$71,Verbruiksprofielen!H74,Achtergrondparameters!$B$20=Verbruiksprofielen!$A$93,Verbruiksprofielen!H96,Achtergrondparameters!$B$20=Verbruiksprofielen!$A$115,Verbruiksprofielen!H118,Achtergrondparameters!$B$20=Verbruiksprofielen!$A$136,Verbruiksprofielen!H139,Achtergrondparameters!$B$20=Verbruiksprofielen!$A$157,Verbruiksprofielen!H160)</f>
        <v>3.2000000000000001E-2</v>
      </c>
      <c r="G25" s="50" cm="1">
        <f t="array" ref="G25">_xlfn.IFS($B$20=Verbruiksprofielen!$A$5,Verbruiksprofielen!I8,Achtergrondparameters!$B$20=Verbruiksprofielen!$A$27,Verbruiksprofielen!I30,Achtergrondparameters!$B$20=Verbruiksprofielen!$A$49,Verbruiksprofielen!I52,Achtergrondparameters!$B$20=Verbruiksprofielen!$A$71,Verbruiksprofielen!I74,Achtergrondparameters!$B$20=Verbruiksprofielen!$A$93,Verbruiksprofielen!I96,Achtergrondparameters!$B$20=Verbruiksprofielen!$A$115,Verbruiksprofielen!I118,Achtergrondparameters!$B$20=Verbruiksprofielen!$A$136,Verbruiksprofielen!I139,Achtergrondparameters!$B$20=Verbruiksprofielen!$A$157,Verbruiksprofielen!I160)</f>
        <v>3.2000000000000001E-2</v>
      </c>
      <c r="H25" s="50" cm="1">
        <f t="array" ref="H25">_xlfn.IFS($B$20=Verbruiksprofielen!$A$5,Verbruiksprofielen!J8,Achtergrondparameters!$B$20=Verbruiksprofielen!$A$27,Verbruiksprofielen!J30,Achtergrondparameters!$B$20=Verbruiksprofielen!$A$49,Verbruiksprofielen!J52,Achtergrondparameters!$B$20=Verbruiksprofielen!$A$71,Verbruiksprofielen!J74,Achtergrondparameters!$B$20=Verbruiksprofielen!$A$93,Verbruiksprofielen!J96,Achtergrondparameters!$B$20=Verbruiksprofielen!$A$115,Verbruiksprofielen!J118,Achtergrondparameters!$B$20=Verbruiksprofielen!$A$136,Verbruiksprofielen!J139,Achtergrondparameters!$B$20=Verbruiksprofielen!$A$157,Verbruiksprofielen!J160)</f>
        <v>3.2000000000000001E-2</v>
      </c>
      <c r="I25" s="50" cm="1">
        <f t="array" ref="I25">_xlfn.IFS($B$20=Verbruiksprofielen!$A$5,Verbruiksprofielen!K8,Achtergrondparameters!$B$20=Verbruiksprofielen!$A$27,Verbruiksprofielen!K30,Achtergrondparameters!$B$20=Verbruiksprofielen!$A$49,Verbruiksprofielen!K52,Achtergrondparameters!$B$20=Verbruiksprofielen!$A$71,Verbruiksprofielen!K74,Achtergrondparameters!$B$20=Verbruiksprofielen!$A$93,Verbruiksprofielen!K96,Achtergrondparameters!$B$20=Verbruiksprofielen!$A$115,Verbruiksprofielen!K118,Achtergrondparameters!$B$20=Verbruiksprofielen!$A$136,Verbruiksprofielen!K139,Achtergrondparameters!$B$20=Verbruiksprofielen!$A$157,Verbruiksprofielen!K160)</f>
        <v>3.2000000000000001E-2</v>
      </c>
      <c r="J25" s="50" cm="1">
        <f t="array" ref="J25">_xlfn.IFS($B$20=Verbruiksprofielen!$A$5,Verbruiksprofielen!L8,Achtergrondparameters!$B$20=Verbruiksprofielen!$A$27,Verbruiksprofielen!L30,Achtergrondparameters!$B$20=Verbruiksprofielen!$A$49,Verbruiksprofielen!L52,Achtergrondparameters!$B$20=Verbruiksprofielen!$A$71,Verbruiksprofielen!L74,Achtergrondparameters!$B$20=Verbruiksprofielen!$A$93,Verbruiksprofielen!L96,Achtergrondparameters!$B$20=Verbruiksprofielen!$A$115,Verbruiksprofielen!L118,Achtergrondparameters!$B$20=Verbruiksprofielen!$A$136,Verbruiksprofielen!L139,Achtergrondparameters!$B$20=Verbruiksprofielen!$A$157,Verbruiksprofielen!L160)</f>
        <v>3.2000000000000001E-2</v>
      </c>
      <c r="K25" s="50" cm="1">
        <f t="array" ref="K25">_xlfn.IFS($B$20=Verbruiksprofielen!$A$5,Verbruiksprofielen!M8,Achtergrondparameters!$B$20=Verbruiksprofielen!$A$27,Verbruiksprofielen!M30,Achtergrondparameters!$B$20=Verbruiksprofielen!$A$49,Verbruiksprofielen!M52,Achtergrondparameters!$B$20=Verbruiksprofielen!$A$71,Verbruiksprofielen!M74,Achtergrondparameters!$B$20=Verbruiksprofielen!$A$93,Verbruiksprofielen!M96,Achtergrondparameters!$B$20=Verbruiksprofielen!$A$115,Verbruiksprofielen!M118,Achtergrondparameters!$B$20=Verbruiksprofielen!$A$136,Verbruiksprofielen!M139,Achtergrondparameters!$B$20=Verbruiksprofielen!$A$157,Verbruiksprofielen!M160)</f>
        <v>3.2000000000000001E-2</v>
      </c>
      <c r="L25" s="50" cm="1">
        <f t="array" ref="L25">_xlfn.IFS($B$20=Verbruiksprofielen!$A$5,Verbruiksprofielen!N8,Achtergrondparameters!$B$20=Verbruiksprofielen!$A$27,Verbruiksprofielen!N30,Achtergrondparameters!$B$20=Verbruiksprofielen!$A$49,Verbruiksprofielen!N52,Achtergrondparameters!$B$20=Verbruiksprofielen!$A$71,Verbruiksprofielen!N74,Achtergrondparameters!$B$20=Verbruiksprofielen!$A$93,Verbruiksprofielen!N96,Achtergrondparameters!$B$20=Verbruiksprofielen!$A$115,Verbruiksprofielen!N118,Achtergrondparameters!$B$20=Verbruiksprofielen!$A$136,Verbruiksprofielen!N139,Achtergrondparameters!$B$20=Verbruiksprofielen!$A$157,Verbruiksprofielen!N160)</f>
        <v>3.2000000000000001E-2</v>
      </c>
      <c r="M25" s="50" cm="1">
        <f t="array" ref="M25">_xlfn.IFS($B$20=Verbruiksprofielen!$A$5,Verbruiksprofielen!O8,Achtergrondparameters!$B$20=Verbruiksprofielen!$A$27,Verbruiksprofielen!O30,Achtergrondparameters!$B$20=Verbruiksprofielen!$A$49,Verbruiksprofielen!O52,Achtergrondparameters!$B$20=Verbruiksprofielen!$A$71,Verbruiksprofielen!O74,Achtergrondparameters!$B$20=Verbruiksprofielen!$A$93,Verbruiksprofielen!O96,Achtergrondparameters!$B$20=Verbruiksprofielen!$A$115,Verbruiksprofielen!O118,Achtergrondparameters!$B$20=Verbruiksprofielen!$A$136,Verbruiksprofielen!O139,Achtergrondparameters!$B$20=Verbruiksprofielen!$A$157,Verbruiksprofielen!O160)</f>
        <v>3.2000000000000001E-2</v>
      </c>
      <c r="N25" s="50" cm="1">
        <f t="array" ref="N25">_xlfn.IFS($B$20=Verbruiksprofielen!$A$5,Verbruiksprofielen!P8,Achtergrondparameters!$B$20=Verbruiksprofielen!$A$27,Verbruiksprofielen!P30,Achtergrondparameters!$B$20=Verbruiksprofielen!$A$49,Verbruiksprofielen!P52,Achtergrondparameters!$B$20=Verbruiksprofielen!$A$71,Verbruiksprofielen!P74,Achtergrondparameters!$B$20=Verbruiksprofielen!$A$93,Verbruiksprofielen!P96,Achtergrondparameters!$B$20=Verbruiksprofielen!$A$115,Verbruiksprofielen!P118,Achtergrondparameters!$B$20=Verbruiksprofielen!$A$136,Verbruiksprofielen!P139,Achtergrondparameters!$B$20=Verbruiksprofielen!$A$157,Verbruiksprofielen!P160)</f>
        <v>3.2000000000000001E-2</v>
      </c>
      <c r="O25" s="50" cm="1">
        <f t="array" ref="O25">_xlfn.IFS($B$20=Verbruiksprofielen!$A$5,Verbruiksprofielen!Q8,Achtergrondparameters!$B$20=Verbruiksprofielen!$A$27,Verbruiksprofielen!Q30,Achtergrondparameters!$B$20=Verbruiksprofielen!$A$49,Verbruiksprofielen!Q52,Achtergrondparameters!$B$20=Verbruiksprofielen!$A$71,Verbruiksprofielen!Q74,Achtergrondparameters!$B$20=Verbruiksprofielen!$A$93,Verbruiksprofielen!Q96,Achtergrondparameters!$B$20=Verbruiksprofielen!$A$115,Verbruiksprofielen!Q118,Achtergrondparameters!$B$20=Verbruiksprofielen!$A$136,Verbruiksprofielen!Q139,Achtergrondparameters!$B$20=Verbruiksprofielen!$A$157,Verbruiksprofielen!Q160)</f>
        <v>3.2000000000000001E-2</v>
      </c>
      <c r="P25" s="50" cm="1">
        <f t="array" ref="P25">_xlfn.IFS($B$20=Verbruiksprofielen!$A$5,Verbruiksprofielen!R8,Achtergrondparameters!$B$20=Verbruiksprofielen!$A$27,Verbruiksprofielen!R30,Achtergrondparameters!$B$20=Verbruiksprofielen!$A$49,Verbruiksprofielen!R52,Achtergrondparameters!$B$20=Verbruiksprofielen!$A$71,Verbruiksprofielen!R74,Achtergrondparameters!$B$20=Verbruiksprofielen!$A$93,Verbruiksprofielen!R96,Achtergrondparameters!$B$20=Verbruiksprofielen!$A$115,Verbruiksprofielen!R118,Achtergrondparameters!$B$20=Verbruiksprofielen!$A$136,Verbruiksprofielen!R139,Achtergrondparameters!$B$20=Verbruiksprofielen!$A$157,Verbruiksprofielen!R160)</f>
        <v>3.2000000000000001E-2</v>
      </c>
      <c r="Q25" s="50" cm="1">
        <f t="array" ref="Q25">_xlfn.IFS($B$20=Verbruiksprofielen!$A$5,Verbruiksprofielen!S8,Achtergrondparameters!$B$20=Verbruiksprofielen!$A$27,Verbruiksprofielen!S30,Achtergrondparameters!$B$20=Verbruiksprofielen!$A$49,Verbruiksprofielen!S52,Achtergrondparameters!$B$20=Verbruiksprofielen!$A$71,Verbruiksprofielen!S74,Achtergrondparameters!$B$20=Verbruiksprofielen!$A$93,Verbruiksprofielen!S96,Achtergrondparameters!$B$20=Verbruiksprofielen!$A$115,Verbruiksprofielen!S118,Achtergrondparameters!$B$20=Verbruiksprofielen!$A$136,Verbruiksprofielen!S139,Achtergrondparameters!$B$20=Verbruiksprofielen!$A$157,Verbruiksprofielen!S160)</f>
        <v>3.2000000000000001E-2</v>
      </c>
      <c r="R25" s="50" cm="1">
        <f t="array" ref="R25">_xlfn.IFS($B$20=Verbruiksprofielen!$A$5,Verbruiksprofielen!T8,Achtergrondparameters!$B$20=Verbruiksprofielen!$A$27,Verbruiksprofielen!T30,Achtergrondparameters!$B$20=Verbruiksprofielen!$A$49,Verbruiksprofielen!T52,Achtergrondparameters!$B$20=Verbruiksprofielen!$A$71,Verbruiksprofielen!T74,Achtergrondparameters!$B$20=Verbruiksprofielen!$A$93,Verbruiksprofielen!T96,Achtergrondparameters!$B$20=Verbruiksprofielen!$A$115,Verbruiksprofielen!T118,Achtergrondparameters!$B$20=Verbruiksprofielen!$A$136,Verbruiksprofielen!T139,Achtergrondparameters!$B$20=Verbruiksprofielen!$A$157,Verbruiksprofielen!T160)</f>
        <v>3.2000000000000001E-2</v>
      </c>
      <c r="S25" s="50" cm="1">
        <f t="array" ref="S25">_xlfn.IFS($B$20=Verbruiksprofielen!$A$5,Verbruiksprofielen!U8,Achtergrondparameters!$B$20=Verbruiksprofielen!$A$27,Verbruiksprofielen!U30,Achtergrondparameters!$B$20=Verbruiksprofielen!$A$49,Verbruiksprofielen!U52,Achtergrondparameters!$B$20=Verbruiksprofielen!$A$71,Verbruiksprofielen!U74,Achtergrondparameters!$B$20=Verbruiksprofielen!$A$93,Verbruiksprofielen!U96,Achtergrondparameters!$B$20=Verbruiksprofielen!$A$115,Verbruiksprofielen!U118,Achtergrondparameters!$B$20=Verbruiksprofielen!$A$136,Verbruiksprofielen!U139,Achtergrondparameters!$B$20=Verbruiksprofielen!$A$157,Verbruiksprofielen!U160)</f>
        <v>3.2000000000000001E-2</v>
      </c>
      <c r="T25" s="50" cm="1">
        <f t="array" ref="T25">_xlfn.IFS($B$20=Verbruiksprofielen!$A$5,Verbruiksprofielen!V8,Achtergrondparameters!$B$20=Verbruiksprofielen!$A$27,Verbruiksprofielen!V30,Achtergrondparameters!$B$20=Verbruiksprofielen!$A$49,Verbruiksprofielen!V52,Achtergrondparameters!$B$20=Verbruiksprofielen!$A$71,Verbruiksprofielen!V74,Achtergrondparameters!$B$20=Verbruiksprofielen!$A$93,Verbruiksprofielen!V96,Achtergrondparameters!$B$20=Verbruiksprofielen!$A$115,Verbruiksprofielen!V118,Achtergrondparameters!$B$20=Verbruiksprofielen!$A$136,Verbruiksprofielen!V139,Achtergrondparameters!$B$20=Verbruiksprofielen!$A$157,Verbruiksprofielen!V160)</f>
        <v>3.2000000000000001E-2</v>
      </c>
      <c r="U25" s="50" cm="1">
        <f t="array" ref="U25">_xlfn.IFS($B$20=Verbruiksprofielen!$A$5,Verbruiksprofielen!W8,Achtergrondparameters!$B$20=Verbruiksprofielen!$A$27,Verbruiksprofielen!W30,Achtergrondparameters!$B$20=Verbruiksprofielen!$A$49,Verbruiksprofielen!W52,Achtergrondparameters!$B$20=Verbruiksprofielen!$A$71,Verbruiksprofielen!W74,Achtergrondparameters!$B$20=Verbruiksprofielen!$A$93,Verbruiksprofielen!W96,Achtergrondparameters!$B$20=Verbruiksprofielen!$A$115,Verbruiksprofielen!W118,Achtergrondparameters!$B$20=Verbruiksprofielen!$A$136,Verbruiksprofielen!W139,Achtergrondparameters!$B$20=Verbruiksprofielen!$A$157,Verbruiksprofielen!W160)</f>
        <v>3.2000000000000001E-2</v>
      </c>
      <c r="V25" s="50" cm="1">
        <f t="array" ref="V25">_xlfn.IFS($B$20=Verbruiksprofielen!$A$5,Verbruiksprofielen!X8,Achtergrondparameters!$B$20=Verbruiksprofielen!$A$27,Verbruiksprofielen!X30,Achtergrondparameters!$B$20=Verbruiksprofielen!$A$49,Verbruiksprofielen!X52,Achtergrondparameters!$B$20=Verbruiksprofielen!$A$71,Verbruiksprofielen!X74,Achtergrondparameters!$B$20=Verbruiksprofielen!$A$93,Verbruiksprofielen!X96,Achtergrondparameters!$B$20=Verbruiksprofielen!$A$115,Verbruiksprofielen!X118,Achtergrondparameters!$B$20=Verbruiksprofielen!$A$136,Verbruiksprofielen!X139,Achtergrondparameters!$B$20=Verbruiksprofielen!$A$157,Verbruiksprofielen!X160)</f>
        <v>3.2000000000000001E-2</v>
      </c>
      <c r="W25" s="50" cm="1">
        <f t="array" ref="W25">_xlfn.IFS($B$20=Verbruiksprofielen!$A$5,Verbruiksprofielen!Y8,Achtergrondparameters!$B$20=Verbruiksprofielen!$A$27,Verbruiksprofielen!Y30,Achtergrondparameters!$B$20=Verbruiksprofielen!$A$49,Verbruiksprofielen!Y52,Achtergrondparameters!$B$20=Verbruiksprofielen!$A$71,Verbruiksprofielen!Y74,Achtergrondparameters!$B$20=Verbruiksprofielen!$A$93,Verbruiksprofielen!Y96,Achtergrondparameters!$B$20=Verbruiksprofielen!$A$115,Verbruiksprofielen!Y118,Achtergrondparameters!$B$20=Verbruiksprofielen!$A$136,Verbruiksprofielen!Y139,Achtergrondparameters!$B$20=Verbruiksprofielen!$A$157,Verbruiksprofielen!Y160)</f>
        <v>3.2000000000000001E-2</v>
      </c>
      <c r="X25" s="50" cm="1">
        <f t="array" ref="X25">_xlfn.IFS($B$20=Verbruiksprofielen!$A$5,Verbruiksprofielen!Z8,Achtergrondparameters!$B$20=Verbruiksprofielen!$A$27,Verbruiksprofielen!Z30,Achtergrondparameters!$B$20=Verbruiksprofielen!$A$49,Verbruiksprofielen!Z52,Achtergrondparameters!$B$20=Verbruiksprofielen!$A$71,Verbruiksprofielen!Z74,Achtergrondparameters!$B$20=Verbruiksprofielen!$A$93,Verbruiksprofielen!Z96,Achtergrondparameters!$B$20=Verbruiksprofielen!$A$115,Verbruiksprofielen!Z118,Achtergrondparameters!$B$20=Verbruiksprofielen!$A$136,Verbruiksprofielen!Z139,Achtergrondparameters!$B$20=Verbruiksprofielen!$A$157,Verbruiksprofielen!Z160)</f>
        <v>3.2000000000000001E-2</v>
      </c>
      <c r="Y25" s="50" cm="1">
        <f t="array" ref="Y25">_xlfn.IFS($B$20=Verbruiksprofielen!$A$5,Verbruiksprofielen!AA8,Achtergrondparameters!$B$20=Verbruiksprofielen!$A$27,Verbruiksprofielen!AA30,Achtergrondparameters!$B$20=Verbruiksprofielen!$A$49,Verbruiksprofielen!AA52,Achtergrondparameters!$B$20=Verbruiksprofielen!$A$71,Verbruiksprofielen!AA74,Achtergrondparameters!$B$20=Verbruiksprofielen!$A$93,Verbruiksprofielen!AA96,Achtergrondparameters!$B$20=Verbruiksprofielen!$A$115,Verbruiksprofielen!AA118,Achtergrondparameters!$B$20=Verbruiksprofielen!$A$136,Verbruiksprofielen!AA139,Achtergrondparameters!$B$20=Verbruiksprofielen!$A$157,Verbruiksprofielen!AA160)</f>
        <v>3.2000000000000001E-2</v>
      </c>
      <c r="Z25" s="50" cm="1">
        <f t="array" ref="Z25">_xlfn.IFS($B$20=Verbruiksprofielen!$A$5,Verbruiksprofielen!AB8,Achtergrondparameters!$B$20=Verbruiksprofielen!$A$27,Verbruiksprofielen!AB30,Achtergrondparameters!$B$20=Verbruiksprofielen!$A$49,Verbruiksprofielen!AB52,Achtergrondparameters!$B$20=Verbruiksprofielen!$A$71,Verbruiksprofielen!AB74,Achtergrondparameters!$B$20=Verbruiksprofielen!$A$93,Verbruiksprofielen!AB96,Achtergrondparameters!$B$20=Verbruiksprofielen!$A$115,Verbruiksprofielen!AB118,Achtergrondparameters!$B$20=Verbruiksprofielen!$A$136,Verbruiksprofielen!AB139,Achtergrondparameters!$B$20=Verbruiksprofielen!$A$157,Verbruiksprofielen!AB160)</f>
        <v>3.2000000000000001E-2</v>
      </c>
      <c r="AA25" s="50" cm="1">
        <f t="array" ref="AA25">_xlfn.IFS($B$20=Verbruiksprofielen!$A$5,Verbruiksprofielen!AC8,Achtergrondparameters!$B$20=Verbruiksprofielen!$A$27,Verbruiksprofielen!AC30,Achtergrondparameters!$B$20=Verbruiksprofielen!$A$49,Verbruiksprofielen!AC52,Achtergrondparameters!$B$20=Verbruiksprofielen!$A$71,Verbruiksprofielen!AC74,Achtergrondparameters!$B$20=Verbruiksprofielen!$A$93,Verbruiksprofielen!AC96,Achtergrondparameters!$B$20=Verbruiksprofielen!$A$115,Verbruiksprofielen!AC118,Achtergrondparameters!$B$20=Verbruiksprofielen!$A$136,Verbruiksprofielen!AC139,Achtergrondparameters!$B$20=Verbruiksprofielen!$A$157,Verbruiksprofielen!AC160)</f>
        <v>3.2000000000000001E-2</v>
      </c>
      <c r="AB25" s="50" cm="1">
        <f t="array" ref="AB25">_xlfn.IFS($B$20=Verbruiksprofielen!$A$5,Verbruiksprofielen!AD8,Achtergrondparameters!$B$20=Verbruiksprofielen!$A$27,Verbruiksprofielen!AD30,Achtergrondparameters!$B$20=Verbruiksprofielen!$A$49,Verbruiksprofielen!AD52,Achtergrondparameters!$B$20=Verbruiksprofielen!$A$71,Verbruiksprofielen!AD74,Achtergrondparameters!$B$20=Verbruiksprofielen!$A$93,Verbruiksprofielen!AD96,Achtergrondparameters!$B$20=Verbruiksprofielen!$A$115,Verbruiksprofielen!AD118,Achtergrondparameters!$B$20=Verbruiksprofielen!$A$136,Verbruiksprofielen!AD139,Achtergrondparameters!$B$20=Verbruiksprofielen!$A$157,Verbruiksprofielen!AD160)</f>
        <v>3.2000000000000001E-2</v>
      </c>
      <c r="AC25" s="50" cm="1">
        <f t="array" ref="AC25">_xlfn.IFS($B$20=Verbruiksprofielen!$A$5,Verbruiksprofielen!AE8,Achtergrondparameters!$B$20=Verbruiksprofielen!$A$27,Verbruiksprofielen!AE30,Achtergrondparameters!$B$20=Verbruiksprofielen!$A$49,Verbruiksprofielen!AE52,Achtergrondparameters!$B$20=Verbruiksprofielen!$A$71,Verbruiksprofielen!AE74,Achtergrondparameters!$B$20=Verbruiksprofielen!$A$93,Verbruiksprofielen!AE96,Achtergrondparameters!$B$20=Verbruiksprofielen!$A$115,Verbruiksprofielen!AE118,Achtergrondparameters!$B$20=Verbruiksprofielen!$A$136,Verbruiksprofielen!AE139,Achtergrondparameters!$B$20=Verbruiksprofielen!$A$157,Verbruiksprofielen!AE160)</f>
        <v>3.2000000000000001E-2</v>
      </c>
      <c r="AD25" s="50" cm="1">
        <f t="array" ref="AD25">_xlfn.IFS($B$20=Verbruiksprofielen!$A$5,Verbruiksprofielen!AF8,Achtergrondparameters!$B$20=Verbruiksprofielen!$A$27,Verbruiksprofielen!AF30,Achtergrondparameters!$B$20=Verbruiksprofielen!$A$49,Verbruiksprofielen!AF52,Achtergrondparameters!$B$20=Verbruiksprofielen!$A$71,Verbruiksprofielen!AF74,Achtergrondparameters!$B$20=Verbruiksprofielen!$A$93,Verbruiksprofielen!AF96,Achtergrondparameters!$B$20=Verbruiksprofielen!$A$115,Verbruiksprofielen!AF118,Achtergrondparameters!$B$20=Verbruiksprofielen!$A$136,Verbruiksprofielen!AF139,Achtergrondparameters!$B$20=Verbruiksprofielen!$A$157,Verbruiksprofielen!AF160)</f>
        <v>3.2000000000000001E-2</v>
      </c>
      <c r="AE25" s="50" cm="1">
        <f t="array" ref="AE25">_xlfn.IFS($B$20=Verbruiksprofielen!$A$5,Verbruiksprofielen!AG8,Achtergrondparameters!$B$20=Verbruiksprofielen!$A$27,Verbruiksprofielen!AG30,Achtergrondparameters!$B$20=Verbruiksprofielen!$A$49,Verbruiksprofielen!AG52,Achtergrondparameters!$B$20=Verbruiksprofielen!$A$71,Verbruiksprofielen!AG74,Achtergrondparameters!$B$20=Verbruiksprofielen!$A$93,Verbruiksprofielen!AG96,Achtergrondparameters!$B$20=Verbruiksprofielen!$A$115,Verbruiksprofielen!AG118,Achtergrondparameters!$B$20=Verbruiksprofielen!$A$136,Verbruiksprofielen!AG139,Achtergrondparameters!$B$20=Verbruiksprofielen!$A$157,Verbruiksprofielen!AG160)</f>
        <v>3.2000000000000001E-2</v>
      </c>
      <c r="AF25" s="50" cm="1">
        <f t="array" ref="AF25">_xlfn.IFS($B$20=Verbruiksprofielen!$A$5,Verbruiksprofielen!AH8,Achtergrondparameters!$B$20=Verbruiksprofielen!$A$27,Verbruiksprofielen!AH30,Achtergrondparameters!$B$20=Verbruiksprofielen!$A$49,Verbruiksprofielen!AH52,Achtergrondparameters!$B$20=Verbruiksprofielen!$A$71,Verbruiksprofielen!AH74,Achtergrondparameters!$B$20=Verbruiksprofielen!$A$93,Verbruiksprofielen!AH96,Achtergrondparameters!$B$20=Verbruiksprofielen!$A$115,Verbruiksprofielen!AH118,Achtergrondparameters!$B$20=Verbruiksprofielen!$A$136,Verbruiksprofielen!AH139,Achtergrondparameters!$B$20=Verbruiksprofielen!$A$157,Verbruiksprofielen!AH160)</f>
        <v>3.2000000000000001E-2</v>
      </c>
      <c r="AG25" s="153"/>
    </row>
    <row r="26" spans="1:33" s="2" customFormat="1" ht="14.25" customHeight="1" x14ac:dyDescent="0.3">
      <c r="A26" s="18" t="s">
        <v>166</v>
      </c>
      <c r="B26" s="33" t="s">
        <v>90</v>
      </c>
      <c r="C26" s="28">
        <f>19.4/1000</f>
        <v>1.9399999999999997E-2</v>
      </c>
      <c r="D26" s="28">
        <f>C26*(1+Referentieparameters!$B$8)</f>
        <v>1.9787999999999997E-2</v>
      </c>
      <c r="E26" s="28">
        <f>D26*(1+Referentieparameters!$B$8)</f>
        <v>2.0183759999999999E-2</v>
      </c>
      <c r="F26" s="28">
        <f>E26*(1+Referentieparameters!$B$8)</f>
        <v>2.05874352E-2</v>
      </c>
      <c r="G26" s="28">
        <f>F26*(1+Referentieparameters!$B$8)</f>
        <v>2.0999183904000001E-2</v>
      </c>
      <c r="H26" s="28">
        <f>G26*(1+Referentieparameters!$B$8)</f>
        <v>2.1419167582080002E-2</v>
      </c>
      <c r="I26" s="28">
        <f>H26*(1+Referentieparameters!$B$8)</f>
        <v>2.18475509337216E-2</v>
      </c>
      <c r="J26" s="28">
        <f>I26*(1+Referentieparameters!$B$8)</f>
        <v>2.2284501952396032E-2</v>
      </c>
      <c r="K26" s="28">
        <f>J26*(1+Referentieparameters!$B$8)</f>
        <v>2.2730191991443952E-2</v>
      </c>
      <c r="L26" s="28">
        <f>K26*(1+Referentieparameters!$B$8)</f>
        <v>2.3184795831272829E-2</v>
      </c>
      <c r="M26" s="28">
        <f>L26*(1+Referentieparameters!$B$8)</f>
        <v>2.3648491747898286E-2</v>
      </c>
      <c r="N26" s="28">
        <f>M26*(1+Referentieparameters!$B$8)</f>
        <v>2.4121461582856253E-2</v>
      </c>
      <c r="O26" s="28">
        <f>N26*(1+Referentieparameters!$B$8)</f>
        <v>2.460389081451338E-2</v>
      </c>
      <c r="P26" s="28">
        <f>O26*(1+Referentieparameters!$B$8)</f>
        <v>2.5095968630803649E-2</v>
      </c>
      <c r="Q26" s="28">
        <f>P26*(1+Referentieparameters!$B$8)</f>
        <v>2.5597888003419722E-2</v>
      </c>
      <c r="R26" s="28">
        <f>Q26*(1+Referentieparameters!$B$8)</f>
        <v>2.6109845763488116E-2</v>
      </c>
      <c r="S26" s="28">
        <f>R26*(1+Referentieparameters!$B$8)</f>
        <v>2.6632042678757878E-2</v>
      </c>
      <c r="T26" s="28">
        <f>S26*(1+Referentieparameters!$B$8)</f>
        <v>2.7164683532333037E-2</v>
      </c>
      <c r="U26" s="28">
        <f>T26*(1+Referentieparameters!$B$8)</f>
        <v>2.7707977202979697E-2</v>
      </c>
      <c r="V26" s="28">
        <f>U26*(1+Referentieparameters!$B$8)</f>
        <v>2.8262136747039292E-2</v>
      </c>
      <c r="W26" s="28">
        <f>V26*(1+Referentieparameters!$B$8)</f>
        <v>2.8827379481980078E-2</v>
      </c>
      <c r="X26" s="28">
        <f>W26*(1+Referentieparameters!$B$8)</f>
        <v>2.9403927071619679E-2</v>
      </c>
      <c r="Y26" s="28">
        <f>X26*(1+Referentieparameters!$B$8)</f>
        <v>2.9992005613052073E-2</v>
      </c>
      <c r="Z26" s="28">
        <f>Y26*(1+Referentieparameters!$B$8)</f>
        <v>3.0591845725313115E-2</v>
      </c>
      <c r="AA26" s="28">
        <f>Z26*(1+Referentieparameters!$B$8)</f>
        <v>3.1203682639819378E-2</v>
      </c>
      <c r="AB26" s="28">
        <f>AA26*(1+Referentieparameters!$B$8)</f>
        <v>3.1827756292615764E-2</v>
      </c>
      <c r="AC26" s="28">
        <f>AB26*(1+Referentieparameters!$B$8)</f>
        <v>3.2464311418468082E-2</v>
      </c>
      <c r="AD26" s="28">
        <f>AC26*(1+Referentieparameters!$B$8)</f>
        <v>3.3113597646837446E-2</v>
      </c>
      <c r="AE26" s="28">
        <f>AD26*(1+Referentieparameters!$B$8)</f>
        <v>3.3775869599774196E-2</v>
      </c>
      <c r="AF26" s="28">
        <f>AE26*(1+Referentieparameters!$B$8)</f>
        <v>3.4451386991769681E-2</v>
      </c>
      <c r="AG26" s="153"/>
    </row>
    <row r="27" spans="1:33" s="2" customFormat="1" ht="14.25" customHeight="1" x14ac:dyDescent="0.4">
      <c r="A27" s="18" t="str">
        <f>IF($B$20="MANUAL","ETS1/2-prijs","ETS2-prijs")</f>
        <v>ETS2-prijs</v>
      </c>
      <c r="B27" s="223" t="s">
        <v>167</v>
      </c>
      <c r="C27" s="35" cm="1">
        <f t="array" ref="C27">_xlfn.IFS($B$20=Verbruiksprofielen!$A$5,Verbruiksprofielen!E9,Achtergrondparameters!$B$20=Verbruiksprofielen!$A$27,Verbruiksprofielen!E31,Achtergrondparameters!$B$20=Verbruiksprofielen!$A$49,Verbruiksprofielen!E53,Achtergrondparameters!$B$20=Verbruiksprofielen!$A$71,Verbruiksprofielen!E75,Achtergrondparameters!$B$20=Verbruiksprofielen!$A$93,Verbruiksprofielen!E97,Achtergrondparameters!$B$20=Verbruiksprofielen!$A$115,Verbruiksprofielen!E119,Achtergrondparameters!$B$20=Verbruiksprofielen!$A$136,Verbruiksprofielen!E140,Achtergrondparameters!$B$20=Verbruiksprofielen!$A$157,Verbruiksprofielen!E161)</f>
        <v>0</v>
      </c>
      <c r="D27" s="35" cm="1">
        <f t="array" ref="D27">_xlfn.IFS($B$20=Verbruiksprofielen!$A$5,Verbruiksprofielen!F9,Achtergrondparameters!$B$20=Verbruiksprofielen!$A$27,Verbruiksprofielen!F31,Achtergrondparameters!$B$20=Verbruiksprofielen!$A$49,Verbruiksprofielen!F53,Achtergrondparameters!$B$20=Verbruiksprofielen!$A$71,Verbruiksprofielen!F75,Achtergrondparameters!$B$20=Verbruiksprofielen!$A$93,Verbruiksprofielen!F97,Achtergrondparameters!$B$20=Verbruiksprofielen!$A$115,Verbruiksprofielen!F119,Achtergrondparameters!$B$20=Verbruiksprofielen!$A$136,Verbruiksprofielen!F140,Achtergrondparameters!$B$20=Verbruiksprofielen!$A$157,Verbruiksprofielen!F161)</f>
        <v>0</v>
      </c>
      <c r="E27" s="35" cm="1">
        <f t="array" ref="E27">_xlfn.IFS($B$20=Verbruiksprofielen!$A$5,Verbruiksprofielen!G9,Achtergrondparameters!$B$20=Verbruiksprofielen!$A$27,Verbruiksprofielen!G31,Achtergrondparameters!$B$20=Verbruiksprofielen!$A$49,Verbruiksprofielen!G53,Achtergrondparameters!$B$20=Verbruiksprofielen!$A$71,Verbruiksprofielen!G75,Achtergrondparameters!$B$20=Verbruiksprofielen!$A$93,Verbruiksprofielen!G97,Achtergrondparameters!$B$20=Verbruiksprofielen!$A$115,Verbruiksprofielen!G119,Achtergrondparameters!$B$20=Verbruiksprofielen!$A$136,Verbruiksprofielen!G140,Achtergrondparameters!$B$20=Verbruiksprofielen!$A$157,Verbruiksprofielen!G161)</f>
        <v>0</v>
      </c>
      <c r="F27" s="35" cm="1">
        <f t="array" ref="F27">_xlfn.IFS($B$20=Verbruiksprofielen!$A$5,Verbruiksprofielen!H9,Achtergrondparameters!$B$20=Verbruiksprofielen!$A$27,Verbruiksprofielen!H31,Achtergrondparameters!$B$20=Verbruiksprofielen!$A$49,Verbruiksprofielen!H53,Achtergrondparameters!$B$20=Verbruiksprofielen!$A$71,Verbruiksprofielen!H75,Achtergrondparameters!$B$20=Verbruiksprofielen!$A$93,Verbruiksprofielen!H97,Achtergrondparameters!$B$20=Verbruiksprofielen!$A$115,Verbruiksprofielen!H119,Achtergrondparameters!$B$20=Verbruiksprofielen!$A$136,Verbruiksprofielen!H140,Achtergrondparameters!$B$20=Verbruiksprofielen!$A$157,Verbruiksprofielen!H161)</f>
        <v>1.3999999999999346E-2</v>
      </c>
      <c r="G27" s="35" cm="1">
        <f t="array" ref="G27">_xlfn.IFS($B$20=Verbruiksprofielen!$A$5,Verbruiksprofielen!I9,Achtergrondparameters!$B$20=Verbruiksprofielen!$A$27,Verbruiksprofielen!I31,Achtergrondparameters!$B$20=Verbruiksprofielen!$A$49,Verbruiksprofielen!I53,Achtergrondparameters!$B$20=Verbruiksprofielen!$A$71,Verbruiksprofielen!I75,Achtergrondparameters!$B$20=Verbruiksprofielen!$A$93,Verbruiksprofielen!I97,Achtergrondparameters!$B$20=Verbruiksprofielen!$A$115,Verbruiksprofielen!I119,Achtergrondparameters!$B$20=Verbruiksprofielen!$A$136,Verbruiksprofielen!I140,Achtergrondparameters!$B$20=Verbruiksprofielen!$A$157,Verbruiksprofielen!I161)</f>
        <v>1.7833333333332924E-2</v>
      </c>
      <c r="H27" s="35" cm="1">
        <f t="array" ref="H27">_xlfn.IFS($B$20=Verbruiksprofielen!$A$5,Verbruiksprofielen!J9,Achtergrondparameters!$B$20=Verbruiksprofielen!$A$27,Verbruiksprofielen!J31,Achtergrondparameters!$B$20=Verbruiksprofielen!$A$49,Verbruiksprofielen!J53,Achtergrondparameters!$B$20=Verbruiksprofielen!$A$71,Verbruiksprofielen!J75,Achtergrondparameters!$B$20=Verbruiksprofielen!$A$93,Verbruiksprofielen!J97,Achtergrondparameters!$B$20=Verbruiksprofielen!$A$115,Verbruiksprofielen!J119,Achtergrondparameters!$B$20=Verbruiksprofielen!$A$136,Verbruiksprofielen!J140,Achtergrondparameters!$B$20=Verbruiksprofielen!$A$157,Verbruiksprofielen!J161)</f>
        <v>2.1666666666666501E-2</v>
      </c>
      <c r="I27" s="35" cm="1">
        <f t="array" ref="I27">_xlfn.IFS($B$20=Verbruiksprofielen!$A$5,Verbruiksprofielen!K9,Achtergrondparameters!$B$20=Verbruiksprofielen!$A$27,Verbruiksprofielen!K31,Achtergrondparameters!$B$20=Verbruiksprofielen!$A$49,Verbruiksprofielen!K53,Achtergrondparameters!$B$20=Verbruiksprofielen!$A$71,Verbruiksprofielen!K75,Achtergrondparameters!$B$20=Verbruiksprofielen!$A$93,Verbruiksprofielen!K97,Achtergrondparameters!$B$20=Verbruiksprofielen!$A$115,Verbruiksprofielen!K119,Achtergrondparameters!$B$20=Verbruiksprofielen!$A$136,Verbruiksprofielen!K140,Achtergrondparameters!$B$20=Verbruiksprofielen!$A$157,Verbruiksprofielen!K161)</f>
        <v>2.5500000000000078E-2</v>
      </c>
      <c r="J27" s="35" cm="1">
        <f t="array" ref="J27">_xlfn.IFS($B$20=Verbruiksprofielen!$A$5,Verbruiksprofielen!L9,Achtergrondparameters!$B$20=Verbruiksprofielen!$A$27,Verbruiksprofielen!L31,Achtergrondparameters!$B$20=Verbruiksprofielen!$A$49,Verbruiksprofielen!L53,Achtergrondparameters!$B$20=Verbruiksprofielen!$A$71,Verbruiksprofielen!L75,Achtergrondparameters!$B$20=Verbruiksprofielen!$A$93,Verbruiksprofielen!L97,Achtergrondparameters!$B$20=Verbruiksprofielen!$A$115,Verbruiksprofielen!L119,Achtergrondparameters!$B$20=Verbruiksprofielen!$A$136,Verbruiksprofielen!L140,Achtergrondparameters!$B$20=Verbruiksprofielen!$A$157,Verbruiksprofielen!L161)</f>
        <v>2.9333333333332767E-2</v>
      </c>
      <c r="K27" s="35" cm="1">
        <f t="array" ref="K27">_xlfn.IFS($B$20=Verbruiksprofielen!$A$5,Verbruiksprofielen!M9,Achtergrondparameters!$B$20=Verbruiksprofielen!$A$27,Verbruiksprofielen!M31,Achtergrondparameters!$B$20=Verbruiksprofielen!$A$49,Verbruiksprofielen!M53,Achtergrondparameters!$B$20=Verbruiksprofielen!$A$71,Verbruiksprofielen!M75,Achtergrondparameters!$B$20=Verbruiksprofielen!$A$93,Verbruiksprofielen!M97,Achtergrondparameters!$B$20=Verbruiksprofielen!$A$115,Verbruiksprofielen!M119,Achtergrondparameters!$B$20=Verbruiksprofielen!$A$136,Verbruiksprofielen!M140,Achtergrondparameters!$B$20=Verbruiksprofielen!$A$157,Verbruiksprofielen!M161)</f>
        <v>3.3166666666666345E-2</v>
      </c>
      <c r="L27" s="35" cm="1">
        <f t="array" ref="L27">_xlfn.IFS($B$20=Verbruiksprofielen!$A$5,Verbruiksprofielen!N9,Achtergrondparameters!$B$20=Verbruiksprofielen!$A$27,Verbruiksprofielen!N31,Achtergrondparameters!$B$20=Verbruiksprofielen!$A$49,Verbruiksprofielen!N53,Achtergrondparameters!$B$20=Verbruiksprofielen!$A$71,Verbruiksprofielen!N75,Achtergrondparameters!$B$20=Verbruiksprofielen!$A$93,Verbruiksprofielen!N97,Achtergrondparameters!$B$20=Verbruiksprofielen!$A$115,Verbruiksprofielen!N119,Achtergrondparameters!$B$20=Verbruiksprofielen!$A$136,Verbruiksprofielen!N140,Achtergrondparameters!$B$20=Verbruiksprofielen!$A$157,Verbruiksprofielen!N161)</f>
        <v>3.6999999999999922E-2</v>
      </c>
      <c r="M27" s="35" cm="1">
        <f t="array" ref="M27">_xlfn.IFS($B$20=Verbruiksprofielen!$A$5,Verbruiksprofielen!O9,Achtergrondparameters!$B$20=Verbruiksprofielen!$A$27,Verbruiksprofielen!O31,Achtergrondparameters!$B$20=Verbruiksprofielen!$A$49,Verbruiksprofielen!O53,Achtergrondparameters!$B$20=Verbruiksprofielen!$A$71,Verbruiksprofielen!O75,Achtergrondparameters!$B$20=Verbruiksprofielen!$A$93,Verbruiksprofielen!O97,Achtergrondparameters!$B$20=Verbruiksprofielen!$A$115,Verbruiksprofielen!O119,Achtergrondparameters!$B$20=Verbruiksprofielen!$A$136,Verbruiksprofielen!O140,Achtergrondparameters!$B$20=Verbruiksprofielen!$A$157,Verbruiksprofielen!O161)</f>
        <v>4.0833333333333499E-2</v>
      </c>
      <c r="N27" s="35" cm="1">
        <f t="array" ref="N27">_xlfn.IFS($B$20=Verbruiksprofielen!$A$5,Verbruiksprofielen!P9,Achtergrondparameters!$B$20=Verbruiksprofielen!$A$27,Verbruiksprofielen!P31,Achtergrondparameters!$B$20=Verbruiksprofielen!$A$49,Verbruiksprofielen!P53,Achtergrondparameters!$B$20=Verbruiksprofielen!$A$71,Verbruiksprofielen!P75,Achtergrondparameters!$B$20=Verbruiksprofielen!$A$93,Verbruiksprofielen!P97,Achtergrondparameters!$B$20=Verbruiksprofielen!$A$115,Verbruiksprofielen!P119,Achtergrondparameters!$B$20=Verbruiksprofielen!$A$136,Verbruiksprofielen!P140,Achtergrondparameters!$B$20=Verbruiksprofielen!$A$157,Verbruiksprofielen!P161)</f>
        <v>4.4666666666666188E-2</v>
      </c>
      <c r="O27" s="35" cm="1">
        <f t="array" ref="O27">_xlfn.IFS($B$20=Verbruiksprofielen!$A$5,Verbruiksprofielen!Q9,Achtergrondparameters!$B$20=Verbruiksprofielen!$A$27,Verbruiksprofielen!Q31,Achtergrondparameters!$B$20=Verbruiksprofielen!$A$49,Verbruiksprofielen!Q53,Achtergrondparameters!$B$20=Verbruiksprofielen!$A$71,Verbruiksprofielen!Q75,Achtergrondparameters!$B$20=Verbruiksprofielen!$A$93,Verbruiksprofielen!Q97,Achtergrondparameters!$B$20=Verbruiksprofielen!$A$115,Verbruiksprofielen!Q119,Achtergrondparameters!$B$20=Verbruiksprofielen!$A$136,Verbruiksprofielen!Q140,Achtergrondparameters!$B$20=Verbruiksprofielen!$A$157,Verbruiksprofielen!Q161)</f>
        <v>4.8499999999999766E-2</v>
      </c>
      <c r="P27" s="35" cm="1">
        <f t="array" ref="P27">_xlfn.IFS($B$20=Verbruiksprofielen!$A$5,Verbruiksprofielen!R9,Achtergrondparameters!$B$20=Verbruiksprofielen!$A$27,Verbruiksprofielen!R31,Achtergrondparameters!$B$20=Verbruiksprofielen!$A$49,Verbruiksprofielen!R53,Achtergrondparameters!$B$20=Verbruiksprofielen!$A$71,Verbruiksprofielen!R75,Achtergrondparameters!$B$20=Verbruiksprofielen!$A$93,Verbruiksprofielen!R97,Achtergrondparameters!$B$20=Verbruiksprofielen!$A$115,Verbruiksprofielen!R119,Achtergrondparameters!$B$20=Verbruiksprofielen!$A$136,Verbruiksprofielen!R140,Achtergrondparameters!$B$20=Verbruiksprofielen!$A$157,Verbruiksprofielen!R161)</f>
        <v>5.2333333333333343E-2</v>
      </c>
      <c r="Q27" s="35" cm="1">
        <f t="array" ref="Q27">_xlfn.IFS($B$20=Verbruiksprofielen!$A$5,Verbruiksprofielen!S9,Achtergrondparameters!$B$20=Verbruiksprofielen!$A$27,Verbruiksprofielen!S31,Achtergrondparameters!$B$20=Verbruiksprofielen!$A$49,Verbruiksprofielen!S53,Achtergrondparameters!$B$20=Verbruiksprofielen!$A$71,Verbruiksprofielen!S75,Achtergrondparameters!$B$20=Verbruiksprofielen!$A$93,Verbruiksprofielen!S97,Achtergrondparameters!$B$20=Verbruiksprofielen!$A$115,Verbruiksprofielen!S119,Achtergrondparameters!$B$20=Verbruiksprofielen!$A$136,Verbruiksprofielen!S140,Achtergrondparameters!$B$20=Verbruiksprofielen!$A$157,Verbruiksprofielen!S161)</f>
        <v>5.6166666666666032E-2</v>
      </c>
      <c r="R27" s="35" cm="1">
        <f t="array" ref="R27">_xlfn.IFS($B$20=Verbruiksprofielen!$A$5,Verbruiksprofielen!T9,Achtergrondparameters!$B$20=Verbruiksprofielen!$A$27,Verbruiksprofielen!T31,Achtergrondparameters!$B$20=Verbruiksprofielen!$A$49,Verbruiksprofielen!T53,Achtergrondparameters!$B$20=Verbruiksprofielen!$A$71,Verbruiksprofielen!T75,Achtergrondparameters!$B$20=Verbruiksprofielen!$A$93,Verbruiksprofielen!T97,Achtergrondparameters!$B$20=Verbruiksprofielen!$A$115,Verbruiksprofielen!T119,Achtergrondparameters!$B$20=Verbruiksprofielen!$A$136,Verbruiksprofielen!T140,Achtergrondparameters!$B$20=Verbruiksprofielen!$A$157,Verbruiksprofielen!T161)</f>
        <v>5.9999999999999609E-2</v>
      </c>
      <c r="S27" s="35" cm="1">
        <f t="array" ref="S27">_xlfn.IFS($B$20=Verbruiksprofielen!$A$5,Verbruiksprofielen!U9,Achtergrondparameters!$B$20=Verbruiksprofielen!$A$27,Verbruiksprofielen!U31,Achtergrondparameters!$B$20=Verbruiksprofielen!$A$49,Verbruiksprofielen!U53,Achtergrondparameters!$B$20=Verbruiksprofielen!$A$71,Verbruiksprofielen!U75,Achtergrondparameters!$B$20=Verbruiksprofielen!$A$93,Verbruiksprofielen!U97,Achtergrondparameters!$B$20=Verbruiksprofielen!$A$115,Verbruiksprofielen!U119,Achtergrondparameters!$B$20=Verbruiksprofielen!$A$136,Verbruiksprofielen!U140,Achtergrondparameters!$B$20=Verbruiksprofielen!$A$157,Verbruiksprofielen!U161)</f>
        <v>6.3833333333333186E-2</v>
      </c>
      <c r="T27" s="35" cm="1">
        <f t="array" ref="T27">_xlfn.IFS($B$20=Verbruiksprofielen!$A$5,Verbruiksprofielen!V9,Achtergrondparameters!$B$20=Verbruiksprofielen!$A$27,Verbruiksprofielen!V31,Achtergrondparameters!$B$20=Verbruiksprofielen!$A$49,Verbruiksprofielen!V53,Achtergrondparameters!$B$20=Verbruiksprofielen!$A$71,Verbruiksprofielen!V75,Achtergrondparameters!$B$20=Verbruiksprofielen!$A$93,Verbruiksprofielen!V97,Achtergrondparameters!$B$20=Verbruiksprofielen!$A$115,Verbruiksprofielen!V119,Achtergrondparameters!$B$20=Verbruiksprofielen!$A$136,Verbruiksprofielen!V140,Achtergrondparameters!$B$20=Verbruiksprofielen!$A$157,Verbruiksprofielen!V161)</f>
        <v>6.7666666666666764E-2</v>
      </c>
      <c r="U27" s="35" cm="1">
        <f t="array" ref="U27">_xlfn.IFS($B$20=Verbruiksprofielen!$A$5,Verbruiksprofielen!W9,Achtergrondparameters!$B$20=Verbruiksprofielen!$A$27,Verbruiksprofielen!W31,Achtergrondparameters!$B$20=Verbruiksprofielen!$A$49,Verbruiksprofielen!W53,Achtergrondparameters!$B$20=Verbruiksprofielen!$A$71,Verbruiksprofielen!W75,Achtergrondparameters!$B$20=Verbruiksprofielen!$A$93,Verbruiksprofielen!W97,Achtergrondparameters!$B$20=Verbruiksprofielen!$A$115,Verbruiksprofielen!W119,Achtergrondparameters!$B$20=Verbruiksprofielen!$A$136,Verbruiksprofielen!W140,Achtergrondparameters!$B$20=Verbruiksprofielen!$A$157,Verbruiksprofielen!W161)</f>
        <v>7.1499999999999453E-2</v>
      </c>
      <c r="V27" s="35" cm="1">
        <f t="array" ref="V27">_xlfn.IFS($B$20=Verbruiksprofielen!$A$5,Verbruiksprofielen!X9,Achtergrondparameters!$B$20=Verbruiksprofielen!$A$27,Verbruiksprofielen!X31,Achtergrondparameters!$B$20=Verbruiksprofielen!$A$49,Verbruiksprofielen!X53,Achtergrondparameters!$B$20=Verbruiksprofielen!$A$71,Verbruiksprofielen!X75,Achtergrondparameters!$B$20=Verbruiksprofielen!$A$93,Verbruiksprofielen!X97,Achtergrondparameters!$B$20=Verbruiksprofielen!$A$115,Verbruiksprofielen!X119,Achtergrondparameters!$B$20=Verbruiksprofielen!$A$136,Verbruiksprofielen!X140,Achtergrondparameters!$B$20=Verbruiksprofielen!$A$157,Verbruiksprofielen!X161)</f>
        <v>7.533333333333303E-2</v>
      </c>
      <c r="W27" s="35" cm="1">
        <f t="array" ref="W27">_xlfn.IFS($B$20=Verbruiksprofielen!$A$5,Verbruiksprofielen!Y9,Achtergrondparameters!$B$20=Verbruiksprofielen!$A$27,Verbruiksprofielen!Y31,Achtergrondparameters!$B$20=Verbruiksprofielen!$A$49,Verbruiksprofielen!Y53,Achtergrondparameters!$B$20=Verbruiksprofielen!$A$71,Verbruiksprofielen!Y75,Achtergrondparameters!$B$20=Verbruiksprofielen!$A$93,Verbruiksprofielen!Y97,Achtergrondparameters!$B$20=Verbruiksprofielen!$A$115,Verbruiksprofielen!Y119,Achtergrondparameters!$B$20=Verbruiksprofielen!$A$136,Verbruiksprofielen!Y140,Achtergrondparameters!$B$20=Verbruiksprofielen!$A$157,Verbruiksprofielen!Y161)</f>
        <v>7.9166666666666607E-2</v>
      </c>
      <c r="X27" s="35" cm="1">
        <f t="array" ref="X27">_xlfn.IFS($B$20=Verbruiksprofielen!$A$5,Verbruiksprofielen!Z9,Achtergrondparameters!$B$20=Verbruiksprofielen!$A$27,Verbruiksprofielen!Z31,Achtergrondparameters!$B$20=Verbruiksprofielen!$A$49,Verbruiksprofielen!Z53,Achtergrondparameters!$B$20=Verbruiksprofielen!$A$71,Verbruiksprofielen!Z75,Achtergrondparameters!$B$20=Verbruiksprofielen!$A$93,Verbruiksprofielen!Z97,Achtergrondparameters!$B$20=Verbruiksprofielen!$A$115,Verbruiksprofielen!Z119,Achtergrondparameters!$B$20=Verbruiksprofielen!$A$136,Verbruiksprofielen!Z140,Achtergrondparameters!$B$20=Verbruiksprofielen!$A$157,Verbruiksprofielen!Z161)</f>
        <v>8.3000000000000185E-2</v>
      </c>
      <c r="Y27" s="35" cm="1">
        <f t="array" ref="Y27">_xlfn.IFS($B$20=Verbruiksprofielen!$A$5,Verbruiksprofielen!AA9,Achtergrondparameters!$B$20=Verbruiksprofielen!$A$27,Verbruiksprofielen!AA31,Achtergrondparameters!$B$20=Verbruiksprofielen!$A$49,Verbruiksprofielen!AA53,Achtergrondparameters!$B$20=Verbruiksprofielen!$A$71,Verbruiksprofielen!AA75,Achtergrondparameters!$B$20=Verbruiksprofielen!$A$93,Verbruiksprofielen!AA97,Achtergrondparameters!$B$20=Verbruiksprofielen!$A$115,Verbruiksprofielen!AA119,Achtergrondparameters!$B$20=Verbruiksprofielen!$A$136,Verbruiksprofielen!AA140,Achtergrondparameters!$B$20=Verbruiksprofielen!$A$157,Verbruiksprofielen!AA161)</f>
        <v>8.6833333333332874E-2</v>
      </c>
      <c r="Z27" s="35" cm="1">
        <f t="array" ref="Z27">_xlfn.IFS($B$20=Verbruiksprofielen!$A$5,Verbruiksprofielen!AB9,Achtergrondparameters!$B$20=Verbruiksprofielen!$A$27,Verbruiksprofielen!AB31,Achtergrondparameters!$B$20=Verbruiksprofielen!$A$49,Verbruiksprofielen!AB53,Achtergrondparameters!$B$20=Verbruiksprofielen!$A$71,Verbruiksprofielen!AB75,Achtergrondparameters!$B$20=Verbruiksprofielen!$A$93,Verbruiksprofielen!AB97,Achtergrondparameters!$B$20=Verbruiksprofielen!$A$115,Verbruiksprofielen!AB119,Achtergrondparameters!$B$20=Verbruiksprofielen!$A$136,Verbruiksprofielen!AB140,Achtergrondparameters!$B$20=Verbruiksprofielen!$A$157,Verbruiksprofielen!AB161)</f>
        <v>9.0666666666666451E-2</v>
      </c>
      <c r="AA27" s="35" cm="1">
        <f t="array" ref="AA27">_xlfn.IFS($B$20=Verbruiksprofielen!$A$5,Verbruiksprofielen!AC9,Achtergrondparameters!$B$20=Verbruiksprofielen!$A$27,Verbruiksprofielen!AC31,Achtergrondparameters!$B$20=Verbruiksprofielen!$A$49,Verbruiksprofielen!AC53,Achtergrondparameters!$B$20=Verbruiksprofielen!$A$71,Verbruiksprofielen!AC75,Achtergrondparameters!$B$20=Verbruiksprofielen!$A$93,Verbruiksprofielen!AC97,Achtergrondparameters!$B$20=Verbruiksprofielen!$A$115,Verbruiksprofielen!AC119,Achtergrondparameters!$B$20=Verbruiksprofielen!$A$136,Verbruiksprofielen!AC140,Achtergrondparameters!$B$20=Verbruiksprofielen!$A$157,Verbruiksprofielen!AC161)</f>
        <v>9.4500000000000028E-2</v>
      </c>
      <c r="AB27" s="35" cm="1">
        <f t="array" ref="AB27">_xlfn.IFS($B$20=Verbruiksprofielen!$A$5,Verbruiksprofielen!AD9,Achtergrondparameters!$B$20=Verbruiksprofielen!$A$27,Verbruiksprofielen!AD31,Achtergrondparameters!$B$20=Verbruiksprofielen!$A$49,Verbruiksprofielen!AD53,Achtergrondparameters!$B$20=Verbruiksprofielen!$A$71,Verbruiksprofielen!AD75,Achtergrondparameters!$B$20=Verbruiksprofielen!$A$93,Verbruiksprofielen!AD97,Achtergrondparameters!$B$20=Verbruiksprofielen!$A$115,Verbruiksprofielen!AD119,Achtergrondparameters!$B$20=Verbruiksprofielen!$A$136,Verbruiksprofielen!AD140,Achtergrondparameters!$B$20=Verbruiksprofielen!$A$157,Verbruiksprofielen!AD161)</f>
        <v>0.06</v>
      </c>
      <c r="AC27" s="35" cm="1">
        <f t="array" ref="AC27">_xlfn.IFS($B$20=Verbruiksprofielen!$A$5,Verbruiksprofielen!AE9,Achtergrondparameters!$B$20=Verbruiksprofielen!$A$27,Verbruiksprofielen!AE31,Achtergrondparameters!$B$20=Verbruiksprofielen!$A$49,Verbruiksprofielen!AE53,Achtergrondparameters!$B$20=Verbruiksprofielen!$A$71,Verbruiksprofielen!AE75,Achtergrondparameters!$B$20=Verbruiksprofielen!$A$93,Verbruiksprofielen!AE97,Achtergrondparameters!$B$20=Verbruiksprofielen!$A$115,Verbruiksprofielen!AE119,Achtergrondparameters!$B$20=Verbruiksprofielen!$A$136,Verbruiksprofielen!AE140,Achtergrondparameters!$B$20=Verbruiksprofielen!$A$157,Verbruiksprofielen!AE161)</f>
        <v>0.06</v>
      </c>
      <c r="AD27" s="35" cm="1">
        <f t="array" ref="AD27">_xlfn.IFS($B$20=Verbruiksprofielen!$A$5,Verbruiksprofielen!AF9,Achtergrondparameters!$B$20=Verbruiksprofielen!$A$27,Verbruiksprofielen!AF31,Achtergrondparameters!$B$20=Verbruiksprofielen!$A$49,Verbruiksprofielen!AF53,Achtergrondparameters!$B$20=Verbruiksprofielen!$A$71,Verbruiksprofielen!AF75,Achtergrondparameters!$B$20=Verbruiksprofielen!$A$93,Verbruiksprofielen!AF97,Achtergrondparameters!$B$20=Verbruiksprofielen!$A$115,Verbruiksprofielen!AF119,Achtergrondparameters!$B$20=Verbruiksprofielen!$A$136,Verbruiksprofielen!AF140,Achtergrondparameters!$B$20=Verbruiksprofielen!$A$157,Verbruiksprofielen!AF161)</f>
        <v>0.06</v>
      </c>
      <c r="AE27" s="35" cm="1">
        <f t="array" ref="AE27">_xlfn.IFS($B$20=Verbruiksprofielen!$A$5,Verbruiksprofielen!AG9,Achtergrondparameters!$B$20=Verbruiksprofielen!$A$27,Verbruiksprofielen!AG31,Achtergrondparameters!$B$20=Verbruiksprofielen!$A$49,Verbruiksprofielen!AG53,Achtergrondparameters!$B$20=Verbruiksprofielen!$A$71,Verbruiksprofielen!AG75,Achtergrondparameters!$B$20=Verbruiksprofielen!$A$93,Verbruiksprofielen!AG97,Achtergrondparameters!$B$20=Verbruiksprofielen!$A$115,Verbruiksprofielen!AG119,Achtergrondparameters!$B$20=Verbruiksprofielen!$A$136,Verbruiksprofielen!AG140,Achtergrondparameters!$B$20=Verbruiksprofielen!$A$157,Verbruiksprofielen!AG161)</f>
        <v>0.06</v>
      </c>
      <c r="AF27" s="35" cm="1">
        <f t="array" ref="AF27">_xlfn.IFS($B$20=Verbruiksprofielen!$A$5,Verbruiksprofielen!AH9,Achtergrondparameters!$B$20=Verbruiksprofielen!$A$27,Verbruiksprofielen!AH31,Achtergrondparameters!$B$20=Verbruiksprofielen!$A$49,Verbruiksprofielen!AH53,Achtergrondparameters!$B$20=Verbruiksprofielen!$A$71,Verbruiksprofielen!AH75,Achtergrondparameters!$B$20=Verbruiksprofielen!$A$93,Verbruiksprofielen!AH97,Achtergrondparameters!$B$20=Verbruiksprofielen!$A$115,Verbruiksprofielen!AH119,Achtergrondparameters!$B$20=Verbruiksprofielen!$A$136,Verbruiksprofielen!AH140,Achtergrondparameters!$B$20=Verbruiksprofielen!$A$157,Verbruiksprofielen!AH161)</f>
        <v>0.06</v>
      </c>
      <c r="AG27" s="153"/>
    </row>
    <row r="28" spans="1:33" s="2" customFormat="1" ht="14.1" customHeight="1" x14ac:dyDescent="0.3">
      <c r="A28" s="236" t="s">
        <v>168</v>
      </c>
      <c r="B28" s="33" t="s">
        <v>62</v>
      </c>
      <c r="C28" s="35" cm="1">
        <f t="array" ref="C28">_xlfn.IFS($B$20=Verbruiksprofielen!$A$5,Verbruiksprofielen!E10,Achtergrondparameters!$B$20=Verbruiksprofielen!$A$27,Verbruiksprofielen!E32,Achtergrondparameters!$B$20=Verbruiksprofielen!$A$49,Verbruiksprofielen!E54,Achtergrondparameters!$B$20=Verbruiksprofielen!$A$71,Verbruiksprofielen!E76,Achtergrondparameters!$B$20=Verbruiksprofielen!$A$93,Verbruiksprofielen!E98,Achtergrondparameters!$B$20=Verbruiksprofielen!$A$115,Verbruiksprofielen!E120,Achtergrondparameters!$B$20=Verbruiksprofielen!$A$136,Verbruiksprofielen!E141,Achtergrondparameters!$B$20=Verbruiksprofielen!$A$157,Verbruiksprofielen!E162)</f>
        <v>0.1</v>
      </c>
      <c r="D28" s="35" cm="1">
        <f t="array" ref="D28">_xlfn.IFS($B$20=Verbruiksprofielen!$A$5,Verbruiksprofielen!F10,Achtergrondparameters!$B$20=Verbruiksprofielen!$A$27,Verbruiksprofielen!F32,Achtergrondparameters!$B$20=Verbruiksprofielen!$A$49,Verbruiksprofielen!F54,Achtergrondparameters!$B$20=Verbruiksprofielen!$A$71,Verbruiksprofielen!F76,Achtergrondparameters!$B$20=Verbruiksprofielen!$A$93,Verbruiksprofielen!F98,Achtergrondparameters!$B$20=Verbruiksprofielen!$A$115,Verbruiksprofielen!F120,Achtergrondparameters!$B$20=Verbruiksprofielen!$A$136,Verbruiksprofielen!F141,Achtergrondparameters!$B$20=Verbruiksprofielen!$A$157,Verbruiksprofielen!F162)</f>
        <v>0.10083623346459537</v>
      </c>
      <c r="E28" s="35" cm="1">
        <f t="array" ref="E28">_xlfn.IFS($B$20=Verbruiksprofielen!$A$5,Verbruiksprofielen!G10,Achtergrondparameters!$B$20=Verbruiksprofielen!$A$27,Verbruiksprofielen!G32,Achtergrondparameters!$B$20=Verbruiksprofielen!$A$49,Verbruiksprofielen!G54,Achtergrondparameters!$B$20=Verbruiksprofielen!$A$71,Verbruiksprofielen!G76,Achtergrondparameters!$B$20=Verbruiksprofielen!$A$93,Verbruiksprofielen!G98,Achtergrondparameters!$B$20=Verbruiksprofielen!$A$115,Verbruiksprofielen!G120,Achtergrondparameters!$B$20=Verbruiksprofielen!$A$136,Verbruiksprofielen!G141,Achtergrondparameters!$B$20=Verbruiksprofielen!$A$157,Verbruiksprofielen!G162)</f>
        <v>0.10167246692919074</v>
      </c>
      <c r="F28" s="35" cm="1">
        <f t="array" ref="F28">_xlfn.IFS($B$20=Verbruiksprofielen!$A$5,Verbruiksprofielen!H10,Achtergrondparameters!$B$20=Verbruiksprofielen!$A$27,Verbruiksprofielen!H32,Achtergrondparameters!$B$20=Verbruiksprofielen!$A$49,Verbruiksprofielen!H54,Achtergrondparameters!$B$20=Verbruiksprofielen!$A$71,Verbruiksprofielen!H76,Achtergrondparameters!$B$20=Verbruiksprofielen!$A$93,Verbruiksprofielen!H98,Achtergrondparameters!$B$20=Verbruiksprofielen!$A$115,Verbruiksprofielen!H120,Achtergrondparameters!$B$20=Verbruiksprofielen!$A$136,Verbruiksprofielen!H141,Achtergrondparameters!$B$20=Verbruiksprofielen!$A$157,Verbruiksprofielen!H162)</f>
        <v>0.1025087003937861</v>
      </c>
      <c r="G28" s="35" cm="1">
        <f t="array" ref="G28">_xlfn.IFS($B$20=Verbruiksprofielen!$A$5,Verbruiksprofielen!I10,Achtergrondparameters!$B$20=Verbruiksprofielen!$A$27,Verbruiksprofielen!I32,Achtergrondparameters!$B$20=Verbruiksprofielen!$A$49,Verbruiksprofielen!I54,Achtergrondparameters!$B$20=Verbruiksprofielen!$A$71,Verbruiksprofielen!I76,Achtergrondparameters!$B$20=Verbruiksprofielen!$A$93,Verbruiksprofielen!I98,Achtergrondparameters!$B$20=Verbruiksprofielen!$A$115,Verbruiksprofielen!I120,Achtergrondparameters!$B$20=Verbruiksprofielen!$A$136,Verbruiksprofielen!I141,Achtergrondparameters!$B$20=Verbruiksprofielen!$A$157,Verbruiksprofielen!I162)</f>
        <v>0.10334493385838146</v>
      </c>
      <c r="H28" s="35" cm="1">
        <f t="array" ref="H28">_xlfn.IFS($B$20=Verbruiksprofielen!$A$5,Verbruiksprofielen!J10,Achtergrondparameters!$B$20=Verbruiksprofielen!$A$27,Verbruiksprofielen!J32,Achtergrondparameters!$B$20=Verbruiksprofielen!$A$49,Verbruiksprofielen!J54,Achtergrondparameters!$B$20=Verbruiksprofielen!$A$71,Verbruiksprofielen!J76,Achtergrondparameters!$B$20=Verbruiksprofielen!$A$93,Verbruiksprofielen!J98,Achtergrondparameters!$B$20=Verbruiksprofielen!$A$115,Verbruiksprofielen!J120,Achtergrondparameters!$B$20=Verbruiksprofielen!$A$136,Verbruiksprofielen!J141,Achtergrondparameters!$B$20=Verbruiksprofielen!$A$157,Verbruiksprofielen!J162)</f>
        <v>0.10418116732297683</v>
      </c>
      <c r="I28" s="35" cm="1">
        <f t="array" ref="I28">_xlfn.IFS($B$20=Verbruiksprofielen!$A$5,Verbruiksprofielen!K10,Achtergrondparameters!$B$20=Verbruiksprofielen!$A$27,Verbruiksprofielen!K32,Achtergrondparameters!$B$20=Verbruiksprofielen!$A$49,Verbruiksprofielen!K54,Achtergrondparameters!$B$20=Verbruiksprofielen!$A$71,Verbruiksprofielen!K76,Achtergrondparameters!$B$20=Verbruiksprofielen!$A$93,Verbruiksprofielen!K98,Achtergrondparameters!$B$20=Verbruiksprofielen!$A$115,Verbruiksprofielen!K120,Achtergrondparameters!$B$20=Verbruiksprofielen!$A$136,Verbruiksprofielen!K141,Achtergrondparameters!$B$20=Verbruiksprofielen!$A$157,Verbruiksprofielen!K162)</f>
        <v>0.10527877274095464</v>
      </c>
      <c r="J28" s="35" cm="1">
        <f t="array" ref="J28">_xlfn.IFS($B$20=Verbruiksprofielen!$A$5,Verbruiksprofielen!L10,Achtergrondparameters!$B$20=Verbruiksprofielen!$A$27,Verbruiksprofielen!L32,Achtergrondparameters!$B$20=Verbruiksprofielen!$A$49,Verbruiksprofielen!L54,Achtergrondparameters!$B$20=Verbruiksprofielen!$A$71,Verbruiksprofielen!L76,Achtergrondparameters!$B$20=Verbruiksprofielen!$A$93,Verbruiksprofielen!L98,Achtergrondparameters!$B$20=Verbruiksprofielen!$A$115,Verbruiksprofielen!L120,Achtergrondparameters!$B$20=Verbruiksprofielen!$A$136,Verbruiksprofielen!L141,Achtergrondparameters!$B$20=Verbruiksprofielen!$A$157,Verbruiksprofielen!L162)</f>
        <v>0.10637637815893244</v>
      </c>
      <c r="K28" s="35" cm="1">
        <f t="array" ref="K28">_xlfn.IFS($B$20=Verbruiksprofielen!$A$5,Verbruiksprofielen!M10,Achtergrondparameters!$B$20=Verbruiksprofielen!$A$27,Verbruiksprofielen!M32,Achtergrondparameters!$B$20=Verbruiksprofielen!$A$49,Verbruiksprofielen!M54,Achtergrondparameters!$B$20=Verbruiksprofielen!$A$71,Verbruiksprofielen!M76,Achtergrondparameters!$B$20=Verbruiksprofielen!$A$93,Verbruiksprofielen!M98,Achtergrondparameters!$B$20=Verbruiksprofielen!$A$115,Verbruiksprofielen!M120,Achtergrondparameters!$B$20=Verbruiksprofielen!$A$136,Verbruiksprofielen!M141,Achtergrondparameters!$B$20=Verbruiksprofielen!$A$157,Verbruiksprofielen!M162)</f>
        <v>0.10747398357691026</v>
      </c>
      <c r="L28" s="35" cm="1">
        <f t="array" ref="L28">_xlfn.IFS($B$20=Verbruiksprofielen!$A$5,Verbruiksprofielen!N10,Achtergrondparameters!$B$20=Verbruiksprofielen!$A$27,Verbruiksprofielen!N32,Achtergrondparameters!$B$20=Verbruiksprofielen!$A$49,Verbruiksprofielen!N54,Achtergrondparameters!$B$20=Verbruiksprofielen!$A$71,Verbruiksprofielen!N76,Achtergrondparameters!$B$20=Verbruiksprofielen!$A$93,Verbruiksprofielen!N98,Achtergrondparameters!$B$20=Verbruiksprofielen!$A$115,Verbruiksprofielen!N120,Achtergrondparameters!$B$20=Verbruiksprofielen!$A$136,Verbruiksprofielen!N141,Achtergrondparameters!$B$20=Verbruiksprofielen!$A$157,Verbruiksprofielen!N162)</f>
        <v>0.10857158899488807</v>
      </c>
      <c r="M28" s="35" cm="1">
        <f t="array" ref="M28">_xlfn.IFS($B$20=Verbruiksprofielen!$A$5,Verbruiksprofielen!O10,Achtergrondparameters!$B$20=Verbruiksprofielen!$A$27,Verbruiksprofielen!O32,Achtergrondparameters!$B$20=Verbruiksprofielen!$A$49,Verbruiksprofielen!O54,Achtergrondparameters!$B$20=Verbruiksprofielen!$A$71,Verbruiksprofielen!O76,Achtergrondparameters!$B$20=Verbruiksprofielen!$A$93,Verbruiksprofielen!O98,Achtergrondparameters!$B$20=Verbruiksprofielen!$A$115,Verbruiksprofielen!O120,Achtergrondparameters!$B$20=Verbruiksprofielen!$A$136,Verbruiksprofielen!O141,Achtergrondparameters!$B$20=Verbruiksprofielen!$A$157,Verbruiksprofielen!O162)</f>
        <v>0.10966919441286588</v>
      </c>
      <c r="N28" s="35" cm="1">
        <f t="array" ref="N28">_xlfn.IFS($B$20=Verbruiksprofielen!$A$5,Verbruiksprofielen!P10,Achtergrondparameters!$B$20=Verbruiksprofielen!$A$27,Verbruiksprofielen!P32,Achtergrondparameters!$B$20=Verbruiksprofielen!$A$49,Verbruiksprofielen!P54,Achtergrondparameters!$B$20=Verbruiksprofielen!$A$71,Verbruiksprofielen!P76,Achtergrondparameters!$B$20=Verbruiksprofielen!$A$93,Verbruiksprofielen!P98,Achtergrondparameters!$B$20=Verbruiksprofielen!$A$115,Verbruiksprofielen!P120,Achtergrondparameters!$B$20=Verbruiksprofielen!$A$136,Verbruiksprofielen!P141,Achtergrondparameters!$B$20=Verbruiksprofielen!$A$157,Verbruiksprofielen!P162)</f>
        <v>0.10867629495000843</v>
      </c>
      <c r="O28" s="35" cm="1">
        <f t="array" ref="O28">_xlfn.IFS($B$20=Verbruiksprofielen!$A$5,Verbruiksprofielen!Q10,Achtergrondparameters!$B$20=Verbruiksprofielen!$A$27,Verbruiksprofielen!Q32,Achtergrondparameters!$B$20=Verbruiksprofielen!$A$49,Verbruiksprofielen!Q54,Achtergrondparameters!$B$20=Verbruiksprofielen!$A$71,Verbruiksprofielen!Q76,Achtergrondparameters!$B$20=Verbruiksprofielen!$A$93,Verbruiksprofielen!Q98,Achtergrondparameters!$B$20=Verbruiksprofielen!$A$115,Verbruiksprofielen!Q120,Achtergrondparameters!$B$20=Verbruiksprofielen!$A$136,Verbruiksprofielen!Q141,Achtergrondparameters!$B$20=Verbruiksprofielen!$A$157,Verbruiksprofielen!Q162)</f>
        <v>0.10768339548715097</v>
      </c>
      <c r="P28" s="35" cm="1">
        <f t="array" ref="P28">_xlfn.IFS($B$20=Verbruiksprofielen!$A$5,Verbruiksprofielen!R10,Achtergrondparameters!$B$20=Verbruiksprofielen!$A$27,Verbruiksprofielen!R32,Achtergrondparameters!$B$20=Verbruiksprofielen!$A$49,Verbruiksprofielen!R54,Achtergrondparameters!$B$20=Verbruiksprofielen!$A$71,Verbruiksprofielen!R76,Achtergrondparameters!$B$20=Verbruiksprofielen!$A$93,Verbruiksprofielen!R98,Achtergrondparameters!$B$20=Verbruiksprofielen!$A$115,Verbruiksprofielen!R120,Achtergrondparameters!$B$20=Verbruiksprofielen!$A$136,Verbruiksprofielen!R141,Achtergrondparameters!$B$20=Verbruiksprofielen!$A$157,Verbruiksprofielen!R162)</f>
        <v>0.10669049602429351</v>
      </c>
      <c r="Q28" s="35" cm="1">
        <f t="array" ref="Q28">_xlfn.IFS($B$20=Verbruiksprofielen!$A$5,Verbruiksprofielen!S10,Achtergrondparameters!$B$20=Verbruiksprofielen!$A$27,Verbruiksprofielen!S32,Achtergrondparameters!$B$20=Verbruiksprofielen!$A$49,Verbruiksprofielen!S54,Achtergrondparameters!$B$20=Verbruiksprofielen!$A$71,Verbruiksprofielen!S76,Achtergrondparameters!$B$20=Verbruiksprofielen!$A$93,Verbruiksprofielen!S98,Achtergrondparameters!$B$20=Verbruiksprofielen!$A$115,Verbruiksprofielen!S120,Achtergrondparameters!$B$20=Verbruiksprofielen!$A$136,Verbruiksprofielen!S141,Achtergrondparameters!$B$20=Verbruiksprofielen!$A$157,Verbruiksprofielen!S162)</f>
        <v>0.10569759656143606</v>
      </c>
      <c r="R28" s="35" cm="1">
        <f t="array" ref="R28">_xlfn.IFS($B$20=Verbruiksprofielen!$A$5,Verbruiksprofielen!T10,Achtergrondparameters!$B$20=Verbruiksprofielen!$A$27,Verbruiksprofielen!T32,Achtergrondparameters!$B$20=Verbruiksprofielen!$A$49,Verbruiksprofielen!T54,Achtergrondparameters!$B$20=Verbruiksprofielen!$A$71,Verbruiksprofielen!T76,Achtergrondparameters!$B$20=Verbruiksprofielen!$A$93,Verbruiksprofielen!T98,Achtergrondparameters!$B$20=Verbruiksprofielen!$A$115,Verbruiksprofielen!T120,Achtergrondparameters!$B$20=Verbruiksprofielen!$A$136,Verbruiksprofielen!T141,Achtergrondparameters!$B$20=Verbruiksprofielen!$A$157,Verbruiksprofielen!T162)</f>
        <v>0.1047046970985786</v>
      </c>
      <c r="S28" s="35" cm="1">
        <f t="array" ref="S28">_xlfn.IFS($B$20=Verbruiksprofielen!$A$5,Verbruiksprofielen!U10,Achtergrondparameters!$B$20=Verbruiksprofielen!$A$27,Verbruiksprofielen!U32,Achtergrondparameters!$B$20=Verbruiksprofielen!$A$49,Verbruiksprofielen!U54,Achtergrondparameters!$B$20=Verbruiksprofielen!$A$71,Verbruiksprofielen!U76,Achtergrondparameters!$B$20=Verbruiksprofielen!$A$93,Verbruiksprofielen!U98,Achtergrondparameters!$B$20=Verbruiksprofielen!$A$115,Verbruiksprofielen!U120,Achtergrondparameters!$B$20=Verbruiksprofielen!$A$136,Verbruiksprofielen!U141,Achtergrondparameters!$B$20=Verbruiksprofielen!$A$157,Verbruiksprofielen!U162)</f>
        <v>0.10078712820005409</v>
      </c>
      <c r="T28" s="35" cm="1">
        <f t="array" ref="T28">_xlfn.IFS($B$20=Verbruiksprofielen!$A$5,Verbruiksprofielen!V10,Achtergrondparameters!$B$20=Verbruiksprofielen!$A$27,Verbruiksprofielen!V32,Achtergrondparameters!$B$20=Verbruiksprofielen!$A$49,Verbruiksprofielen!V54,Achtergrondparameters!$B$20=Verbruiksprofielen!$A$71,Verbruiksprofielen!V76,Achtergrondparameters!$B$20=Verbruiksprofielen!$A$93,Verbruiksprofielen!V98,Achtergrondparameters!$B$20=Verbruiksprofielen!$A$115,Verbruiksprofielen!V120,Achtergrondparameters!$B$20=Verbruiksprofielen!$A$136,Verbruiksprofielen!V141,Achtergrondparameters!$B$20=Verbruiksprofielen!$A$157,Verbruiksprofielen!V162)</f>
        <v>9.6869559301529573E-2</v>
      </c>
      <c r="U28" s="35" cm="1">
        <f t="array" ref="U28">_xlfn.IFS($B$20=Verbruiksprofielen!$A$5,Verbruiksprofielen!W10,Achtergrondparameters!$B$20=Verbruiksprofielen!$A$27,Verbruiksprofielen!W32,Achtergrondparameters!$B$20=Verbruiksprofielen!$A$49,Verbruiksprofielen!W54,Achtergrondparameters!$B$20=Verbruiksprofielen!$A$71,Verbruiksprofielen!W76,Achtergrondparameters!$B$20=Verbruiksprofielen!$A$93,Verbruiksprofielen!W98,Achtergrondparameters!$B$20=Verbruiksprofielen!$A$115,Verbruiksprofielen!W120,Achtergrondparameters!$B$20=Verbruiksprofielen!$A$136,Verbruiksprofielen!W141,Achtergrondparameters!$B$20=Verbruiksprofielen!$A$157,Verbruiksprofielen!W162)</f>
        <v>9.2951990403005044E-2</v>
      </c>
      <c r="V28" s="35" cm="1">
        <f t="array" ref="V28">_xlfn.IFS($B$20=Verbruiksprofielen!$A$5,Verbruiksprofielen!X10,Achtergrondparameters!$B$20=Verbruiksprofielen!$A$27,Verbruiksprofielen!X32,Achtergrondparameters!$B$20=Verbruiksprofielen!$A$49,Verbruiksprofielen!X54,Achtergrondparameters!$B$20=Verbruiksprofielen!$A$71,Verbruiksprofielen!X76,Achtergrondparameters!$B$20=Verbruiksprofielen!$A$93,Verbruiksprofielen!X98,Achtergrondparameters!$B$20=Verbruiksprofielen!$A$115,Verbruiksprofielen!X120,Achtergrondparameters!$B$20=Verbruiksprofielen!$A$136,Verbruiksprofielen!X141,Achtergrondparameters!$B$20=Verbruiksprofielen!$A$157,Verbruiksprofielen!X162)</f>
        <v>8.9034421504480529E-2</v>
      </c>
      <c r="W28" s="35" cm="1">
        <f t="array" ref="W28">_xlfn.IFS($B$20=Verbruiksprofielen!$A$5,Verbruiksprofielen!Y10,Achtergrondparameters!$B$20=Verbruiksprofielen!$A$27,Verbruiksprofielen!Y32,Achtergrondparameters!$B$20=Verbruiksprofielen!$A$49,Verbruiksprofielen!Y54,Achtergrondparameters!$B$20=Verbruiksprofielen!$A$71,Verbruiksprofielen!Y76,Achtergrondparameters!$B$20=Verbruiksprofielen!$A$93,Verbruiksprofielen!Y98,Achtergrondparameters!$B$20=Verbruiksprofielen!$A$115,Verbruiksprofielen!Y120,Achtergrondparameters!$B$20=Verbruiksprofielen!$A$136,Verbruiksprofielen!Y141,Achtergrondparameters!$B$20=Verbruiksprofielen!$A$157,Verbruiksprofielen!Y162)</f>
        <v>8.5116852605956014E-2</v>
      </c>
      <c r="X28" s="35" cm="1">
        <f t="array" ref="X28">_xlfn.IFS($B$20=Verbruiksprofielen!$A$5,Verbruiksprofielen!Z10,Achtergrondparameters!$B$20=Verbruiksprofielen!$A$27,Verbruiksprofielen!Z32,Achtergrondparameters!$B$20=Verbruiksprofielen!$A$49,Verbruiksprofielen!Z54,Achtergrondparameters!$B$20=Verbruiksprofielen!$A$71,Verbruiksprofielen!Z76,Achtergrondparameters!$B$20=Verbruiksprofielen!$A$93,Verbruiksprofielen!Z98,Achtergrondparameters!$B$20=Verbruiksprofielen!$A$115,Verbruiksprofielen!Z120,Achtergrondparameters!$B$20=Verbruiksprofielen!$A$136,Verbruiksprofielen!Z141,Achtergrondparameters!$B$20=Verbruiksprofielen!$A$157,Verbruiksprofielen!Z162)</f>
        <v>8.7028101612823011E-2</v>
      </c>
      <c r="Y28" s="35" cm="1">
        <f t="array" ref="Y28">_xlfn.IFS($B$20=Verbruiksprofielen!$A$5,Verbruiksprofielen!AA10,Achtergrondparameters!$B$20=Verbruiksprofielen!$A$27,Verbruiksprofielen!AA32,Achtergrondparameters!$B$20=Verbruiksprofielen!$A$49,Verbruiksprofielen!AA54,Achtergrondparameters!$B$20=Verbruiksprofielen!$A$71,Verbruiksprofielen!AA76,Achtergrondparameters!$B$20=Verbruiksprofielen!$A$93,Verbruiksprofielen!AA98,Achtergrondparameters!$B$20=Verbruiksprofielen!$A$115,Verbruiksprofielen!AA120,Achtergrondparameters!$B$20=Verbruiksprofielen!$A$136,Verbruiksprofielen!AA141,Achtergrondparameters!$B$20=Verbruiksprofielen!$A$157,Verbruiksprofielen!AA162)</f>
        <v>8.8939350619689994E-2</v>
      </c>
      <c r="Z28" s="35" cm="1">
        <f t="array" ref="Z28">_xlfn.IFS($B$20=Verbruiksprofielen!$A$5,Verbruiksprofielen!AB10,Achtergrondparameters!$B$20=Verbruiksprofielen!$A$27,Verbruiksprofielen!AB32,Achtergrondparameters!$B$20=Verbruiksprofielen!$A$49,Verbruiksprofielen!AB54,Achtergrondparameters!$B$20=Verbruiksprofielen!$A$71,Verbruiksprofielen!AB76,Achtergrondparameters!$B$20=Verbruiksprofielen!$A$93,Verbruiksprofielen!AB98,Achtergrondparameters!$B$20=Verbruiksprofielen!$A$115,Verbruiksprofielen!AB120,Achtergrondparameters!$B$20=Verbruiksprofielen!$A$136,Verbruiksprofielen!AB141,Achtergrondparameters!$B$20=Verbruiksprofielen!$A$157,Verbruiksprofielen!AB162)</f>
        <v>9.0850599626556991E-2</v>
      </c>
      <c r="AA28" s="35" cm="1">
        <f t="array" ref="AA28">_xlfn.IFS($B$20=Verbruiksprofielen!$A$5,Verbruiksprofielen!AC10,Achtergrondparameters!$B$20=Verbruiksprofielen!$A$27,Verbruiksprofielen!AC32,Achtergrondparameters!$B$20=Verbruiksprofielen!$A$49,Verbruiksprofielen!AC54,Achtergrondparameters!$B$20=Verbruiksprofielen!$A$71,Verbruiksprofielen!AC76,Achtergrondparameters!$B$20=Verbruiksprofielen!$A$93,Verbruiksprofielen!AC98,Achtergrondparameters!$B$20=Verbruiksprofielen!$A$115,Verbruiksprofielen!AC120,Achtergrondparameters!$B$20=Verbruiksprofielen!$A$136,Verbruiksprofielen!AC141,Achtergrondparameters!$B$20=Verbruiksprofielen!$A$157,Verbruiksprofielen!AC162)</f>
        <v>9.2761848633423974E-2</v>
      </c>
      <c r="AB28" s="35" cm="1">
        <f t="array" ref="AB28">_xlfn.IFS($B$20=Verbruiksprofielen!$A$5,Verbruiksprofielen!AD10,Achtergrondparameters!$B$20=Verbruiksprofielen!$A$27,Verbruiksprofielen!AD32,Achtergrondparameters!$B$20=Verbruiksprofielen!$A$49,Verbruiksprofielen!AD54,Achtergrondparameters!$B$20=Verbruiksprofielen!$A$71,Verbruiksprofielen!AD76,Achtergrondparameters!$B$20=Verbruiksprofielen!$A$93,Verbruiksprofielen!AD98,Achtergrondparameters!$B$20=Verbruiksprofielen!$A$115,Verbruiksprofielen!AD120,Achtergrondparameters!$B$20=Verbruiksprofielen!$A$136,Verbruiksprofielen!AD141,Achtergrondparameters!$B$20=Verbruiksprofielen!$A$157,Verbruiksprofielen!AD162)</f>
        <v>9.4673097640290971E-2</v>
      </c>
      <c r="AC28" s="35" cm="1">
        <f t="array" ref="AC28">_xlfn.IFS($B$20=Verbruiksprofielen!$A$5,Verbruiksprofielen!AE10,Achtergrondparameters!$B$20=Verbruiksprofielen!$A$27,Verbruiksprofielen!AE32,Achtergrondparameters!$B$20=Verbruiksprofielen!$A$49,Verbruiksprofielen!AE54,Achtergrondparameters!$B$20=Verbruiksprofielen!$A$71,Verbruiksprofielen!AE76,Achtergrondparameters!$B$20=Verbruiksprofielen!$A$93,Verbruiksprofielen!AE98,Achtergrondparameters!$B$20=Verbruiksprofielen!$A$115,Verbruiksprofielen!AE120,Achtergrondparameters!$B$20=Verbruiksprofielen!$A$136,Verbruiksprofielen!AE141,Achtergrondparameters!$B$20=Verbruiksprofielen!$A$157,Verbruiksprofielen!AE162)</f>
        <v>9.4673097640290971E-2</v>
      </c>
      <c r="AD28" s="35" cm="1">
        <f t="array" ref="AD28">_xlfn.IFS($B$20=Verbruiksprofielen!$A$5,Verbruiksprofielen!AF10,Achtergrondparameters!$B$20=Verbruiksprofielen!$A$27,Verbruiksprofielen!AF32,Achtergrondparameters!$B$20=Verbruiksprofielen!$A$49,Verbruiksprofielen!AF54,Achtergrondparameters!$B$20=Verbruiksprofielen!$A$71,Verbruiksprofielen!AF76,Achtergrondparameters!$B$20=Verbruiksprofielen!$A$93,Verbruiksprofielen!AF98,Achtergrondparameters!$B$20=Verbruiksprofielen!$A$115,Verbruiksprofielen!AF120,Achtergrondparameters!$B$20=Verbruiksprofielen!$A$136,Verbruiksprofielen!AF141,Achtergrondparameters!$B$20=Verbruiksprofielen!$A$157,Verbruiksprofielen!AF162)</f>
        <v>9.4673097640290971E-2</v>
      </c>
      <c r="AE28" s="35" cm="1">
        <f t="array" ref="AE28">_xlfn.IFS($B$20=Verbruiksprofielen!$A$5,Verbruiksprofielen!AG10,Achtergrondparameters!$B$20=Verbruiksprofielen!$A$27,Verbruiksprofielen!AG32,Achtergrondparameters!$B$20=Verbruiksprofielen!$A$49,Verbruiksprofielen!AG54,Achtergrondparameters!$B$20=Verbruiksprofielen!$A$71,Verbruiksprofielen!AG76,Achtergrondparameters!$B$20=Verbruiksprofielen!$A$93,Verbruiksprofielen!AG98,Achtergrondparameters!$B$20=Verbruiksprofielen!$A$115,Verbruiksprofielen!AG120,Achtergrondparameters!$B$20=Verbruiksprofielen!$A$136,Verbruiksprofielen!AG141,Achtergrondparameters!$B$20=Verbruiksprofielen!$A$157,Verbruiksprofielen!AG162)</f>
        <v>9.4673097640290971E-2</v>
      </c>
      <c r="AF28" s="35" cm="1">
        <f t="array" ref="AF28">_xlfn.IFS($B$20=Verbruiksprofielen!$A$5,Verbruiksprofielen!AH10,Achtergrondparameters!$B$20=Verbruiksprofielen!$A$27,Verbruiksprofielen!AH32,Achtergrondparameters!$B$20=Verbruiksprofielen!$A$49,Verbruiksprofielen!AH54,Achtergrondparameters!$B$20=Verbruiksprofielen!$A$71,Verbruiksprofielen!AH76,Achtergrondparameters!$B$20=Verbruiksprofielen!$A$93,Verbruiksprofielen!AH98,Achtergrondparameters!$B$20=Verbruiksprofielen!$A$115,Verbruiksprofielen!AH120,Achtergrondparameters!$B$20=Verbruiksprofielen!$A$136,Verbruiksprofielen!AH141,Achtergrondparameters!$B$20=Verbruiksprofielen!$A$157,Verbruiksprofielen!AH162)</f>
        <v>9.4673097640290971E-2</v>
      </c>
      <c r="AG28" s="153"/>
    </row>
    <row r="29" spans="1:33" s="2" customFormat="1" ht="15.6" x14ac:dyDescent="0.3">
      <c r="A29" s="362" t="s">
        <v>87</v>
      </c>
      <c r="B29" s="33" t="s">
        <v>88</v>
      </c>
      <c r="C29" s="361" cm="1">
        <f t="array" ref="C29">_xlfn.IFS($B$20=Verbruiksprofielen!$A$5,Verbruiksprofielen!E11,Achtergrondparameters!$B$20=Verbruiksprofielen!$A$27,Verbruiksprofielen!E33,Achtergrondparameters!$B$20=Verbruiksprofielen!$A$49,Verbruiksprofielen!E55,Achtergrondparameters!$B$20=Verbruiksprofielen!$A$71,Verbruiksprofielen!E77,Achtergrondparameters!$B$20=Verbruiksprofielen!$A$93,Verbruiksprofielen!E99,Achtergrondparameters!$B$20=Verbruiksprofielen!$A$115,Verbruiksprofielen!E121,Achtergrondparameters!$B$20=Verbruiksprofielen!$A$136,Verbruiksprofielen!E142,Achtergrondparameters!$B$20=Verbruiksprofielen!$A$157,Verbruiksprofielen!E163)</f>
        <v>8000</v>
      </c>
      <c r="D29" s="361" cm="1">
        <f t="array" ref="D29">_xlfn.IFS($B$20=Verbruiksprofielen!$A$5,Verbruiksprofielen!F11,Achtergrondparameters!$B$20=Verbruiksprofielen!$A$27,Verbruiksprofielen!F33,Achtergrondparameters!$B$20=Verbruiksprofielen!$A$49,Verbruiksprofielen!F55,Achtergrondparameters!$B$20=Verbruiksprofielen!$A$71,Verbruiksprofielen!F77,Achtergrondparameters!$B$20=Verbruiksprofielen!$A$93,Verbruiksprofielen!F99,Achtergrondparameters!$B$20=Verbruiksprofielen!$A$115,Verbruiksprofielen!F121,Achtergrondparameters!$B$20=Verbruiksprofielen!$A$136,Verbruiksprofielen!F142,Achtergrondparameters!$B$20=Verbruiksprofielen!$A$157,Verbruiksprofielen!F163)</f>
        <v>8000</v>
      </c>
      <c r="E29" s="361" cm="1">
        <f t="array" ref="E29">_xlfn.IFS($B$20=Verbruiksprofielen!$A$5,Verbruiksprofielen!G11,Achtergrondparameters!$B$20=Verbruiksprofielen!$A$27,Verbruiksprofielen!G33,Achtergrondparameters!$B$20=Verbruiksprofielen!$A$49,Verbruiksprofielen!G55,Achtergrondparameters!$B$20=Verbruiksprofielen!$A$71,Verbruiksprofielen!G77,Achtergrondparameters!$B$20=Verbruiksprofielen!$A$93,Verbruiksprofielen!G99,Achtergrondparameters!$B$20=Verbruiksprofielen!$A$115,Verbruiksprofielen!G121,Achtergrondparameters!$B$20=Verbruiksprofielen!$A$136,Verbruiksprofielen!G142,Achtergrondparameters!$B$20=Verbruiksprofielen!$A$157,Verbruiksprofielen!G163)</f>
        <v>8000</v>
      </c>
      <c r="F29" s="361" cm="1">
        <f t="array" ref="F29">_xlfn.IFS($B$20=Verbruiksprofielen!$A$5,Verbruiksprofielen!H11,Achtergrondparameters!$B$20=Verbruiksprofielen!$A$27,Verbruiksprofielen!H33,Achtergrondparameters!$B$20=Verbruiksprofielen!$A$49,Verbruiksprofielen!H55,Achtergrondparameters!$B$20=Verbruiksprofielen!$A$71,Verbruiksprofielen!H77,Achtergrondparameters!$B$20=Verbruiksprofielen!$A$93,Verbruiksprofielen!H99,Achtergrondparameters!$B$20=Verbruiksprofielen!$A$115,Verbruiksprofielen!H121,Achtergrondparameters!$B$20=Verbruiksprofielen!$A$136,Verbruiksprofielen!H142,Achtergrondparameters!$B$20=Verbruiksprofielen!$A$157,Verbruiksprofielen!H163)</f>
        <v>8000</v>
      </c>
      <c r="G29" s="361" cm="1">
        <f t="array" ref="G29">_xlfn.IFS($B$20=Verbruiksprofielen!$A$5,Verbruiksprofielen!I11,Achtergrondparameters!$B$20=Verbruiksprofielen!$A$27,Verbruiksprofielen!I33,Achtergrondparameters!$B$20=Verbruiksprofielen!$A$49,Verbruiksprofielen!I55,Achtergrondparameters!$B$20=Verbruiksprofielen!$A$71,Verbruiksprofielen!I77,Achtergrondparameters!$B$20=Verbruiksprofielen!$A$93,Verbruiksprofielen!I99,Achtergrondparameters!$B$20=Verbruiksprofielen!$A$115,Verbruiksprofielen!I121,Achtergrondparameters!$B$20=Verbruiksprofielen!$A$136,Verbruiksprofielen!I142,Achtergrondparameters!$B$20=Verbruiksprofielen!$A$157,Verbruiksprofielen!I163)</f>
        <v>8000</v>
      </c>
      <c r="H29" s="361" cm="1">
        <f t="array" ref="H29">_xlfn.IFS($B$20=Verbruiksprofielen!$A$5,Verbruiksprofielen!J11,Achtergrondparameters!$B$20=Verbruiksprofielen!$A$27,Verbruiksprofielen!J33,Achtergrondparameters!$B$20=Verbruiksprofielen!$A$49,Verbruiksprofielen!J55,Achtergrondparameters!$B$20=Verbruiksprofielen!$A$71,Verbruiksprofielen!J77,Achtergrondparameters!$B$20=Verbruiksprofielen!$A$93,Verbruiksprofielen!J99,Achtergrondparameters!$B$20=Verbruiksprofielen!$A$115,Verbruiksprofielen!J121,Achtergrondparameters!$B$20=Verbruiksprofielen!$A$136,Verbruiksprofielen!J142,Achtergrondparameters!$B$20=Verbruiksprofielen!$A$157,Verbruiksprofielen!J163)</f>
        <v>8000</v>
      </c>
      <c r="I29" s="361" cm="1">
        <f t="array" ref="I29">_xlfn.IFS($B$20=Verbruiksprofielen!$A$5,Verbruiksprofielen!K11,Achtergrondparameters!$B$20=Verbruiksprofielen!$A$27,Verbruiksprofielen!K33,Achtergrondparameters!$B$20=Verbruiksprofielen!$A$49,Verbruiksprofielen!K55,Achtergrondparameters!$B$20=Verbruiksprofielen!$A$71,Verbruiksprofielen!K77,Achtergrondparameters!$B$20=Verbruiksprofielen!$A$93,Verbruiksprofielen!K99,Achtergrondparameters!$B$20=Verbruiksprofielen!$A$115,Verbruiksprofielen!K121,Achtergrondparameters!$B$20=Verbruiksprofielen!$A$136,Verbruiksprofielen!K142,Achtergrondparameters!$B$20=Verbruiksprofielen!$A$157,Verbruiksprofielen!K163)</f>
        <v>8000</v>
      </c>
      <c r="J29" s="361" cm="1">
        <f t="array" ref="J29">_xlfn.IFS($B$20=Verbruiksprofielen!$A$5,Verbruiksprofielen!L11,Achtergrondparameters!$B$20=Verbruiksprofielen!$A$27,Verbruiksprofielen!L33,Achtergrondparameters!$B$20=Verbruiksprofielen!$A$49,Verbruiksprofielen!L55,Achtergrondparameters!$B$20=Verbruiksprofielen!$A$71,Verbruiksprofielen!L77,Achtergrondparameters!$B$20=Verbruiksprofielen!$A$93,Verbruiksprofielen!L99,Achtergrondparameters!$B$20=Verbruiksprofielen!$A$115,Verbruiksprofielen!L121,Achtergrondparameters!$B$20=Verbruiksprofielen!$A$136,Verbruiksprofielen!L142,Achtergrondparameters!$B$20=Verbruiksprofielen!$A$157,Verbruiksprofielen!L163)</f>
        <v>8000</v>
      </c>
      <c r="K29" s="361" cm="1">
        <f t="array" ref="K29">_xlfn.IFS($B$20=Verbruiksprofielen!$A$5,Verbruiksprofielen!M11,Achtergrondparameters!$B$20=Verbruiksprofielen!$A$27,Verbruiksprofielen!M33,Achtergrondparameters!$B$20=Verbruiksprofielen!$A$49,Verbruiksprofielen!M55,Achtergrondparameters!$B$20=Verbruiksprofielen!$A$71,Verbruiksprofielen!M77,Achtergrondparameters!$B$20=Verbruiksprofielen!$A$93,Verbruiksprofielen!M99,Achtergrondparameters!$B$20=Verbruiksprofielen!$A$115,Verbruiksprofielen!M121,Achtergrondparameters!$B$20=Verbruiksprofielen!$A$136,Verbruiksprofielen!M142,Achtergrondparameters!$B$20=Verbruiksprofielen!$A$157,Verbruiksprofielen!M163)</f>
        <v>8000</v>
      </c>
      <c r="L29" s="361" cm="1">
        <f t="array" ref="L29">_xlfn.IFS($B$20=Verbruiksprofielen!$A$5,Verbruiksprofielen!N11,Achtergrondparameters!$B$20=Verbruiksprofielen!$A$27,Verbruiksprofielen!N33,Achtergrondparameters!$B$20=Verbruiksprofielen!$A$49,Verbruiksprofielen!N55,Achtergrondparameters!$B$20=Verbruiksprofielen!$A$71,Verbruiksprofielen!N77,Achtergrondparameters!$B$20=Verbruiksprofielen!$A$93,Verbruiksprofielen!N99,Achtergrondparameters!$B$20=Verbruiksprofielen!$A$115,Verbruiksprofielen!N121,Achtergrondparameters!$B$20=Verbruiksprofielen!$A$136,Verbruiksprofielen!N142,Achtergrondparameters!$B$20=Verbruiksprofielen!$A$157,Verbruiksprofielen!N163)</f>
        <v>8000</v>
      </c>
      <c r="M29" s="361" cm="1">
        <f t="array" ref="M29">_xlfn.IFS($B$20=Verbruiksprofielen!$A$5,Verbruiksprofielen!O11,Achtergrondparameters!$B$20=Verbruiksprofielen!$A$27,Verbruiksprofielen!O33,Achtergrondparameters!$B$20=Verbruiksprofielen!$A$49,Verbruiksprofielen!O55,Achtergrondparameters!$B$20=Verbruiksprofielen!$A$71,Verbruiksprofielen!O77,Achtergrondparameters!$B$20=Verbruiksprofielen!$A$93,Verbruiksprofielen!O99,Achtergrondparameters!$B$20=Verbruiksprofielen!$A$115,Verbruiksprofielen!O121,Achtergrondparameters!$B$20=Verbruiksprofielen!$A$136,Verbruiksprofielen!O142,Achtergrondparameters!$B$20=Verbruiksprofielen!$A$157,Verbruiksprofielen!O163)</f>
        <v>8000</v>
      </c>
      <c r="N29" s="361" cm="1">
        <f t="array" ref="N29">_xlfn.IFS($B$20=Verbruiksprofielen!$A$5,Verbruiksprofielen!P11,Achtergrondparameters!$B$20=Verbruiksprofielen!$A$27,Verbruiksprofielen!P33,Achtergrondparameters!$B$20=Verbruiksprofielen!$A$49,Verbruiksprofielen!P55,Achtergrondparameters!$B$20=Verbruiksprofielen!$A$71,Verbruiksprofielen!P77,Achtergrondparameters!$B$20=Verbruiksprofielen!$A$93,Verbruiksprofielen!P99,Achtergrondparameters!$B$20=Verbruiksprofielen!$A$115,Verbruiksprofielen!P121,Achtergrondparameters!$B$20=Verbruiksprofielen!$A$136,Verbruiksprofielen!P142,Achtergrondparameters!$B$20=Verbruiksprofielen!$A$157,Verbruiksprofielen!P163)</f>
        <v>8000</v>
      </c>
      <c r="O29" s="361" cm="1">
        <f t="array" ref="O29">_xlfn.IFS($B$20=Verbruiksprofielen!$A$5,Verbruiksprofielen!Q11,Achtergrondparameters!$B$20=Verbruiksprofielen!$A$27,Verbruiksprofielen!Q33,Achtergrondparameters!$B$20=Verbruiksprofielen!$A$49,Verbruiksprofielen!Q55,Achtergrondparameters!$B$20=Verbruiksprofielen!$A$71,Verbruiksprofielen!Q77,Achtergrondparameters!$B$20=Verbruiksprofielen!$A$93,Verbruiksprofielen!Q99,Achtergrondparameters!$B$20=Verbruiksprofielen!$A$115,Verbruiksprofielen!Q121,Achtergrondparameters!$B$20=Verbruiksprofielen!$A$136,Verbruiksprofielen!Q142,Achtergrondparameters!$B$20=Verbruiksprofielen!$A$157,Verbruiksprofielen!Q163)</f>
        <v>8000</v>
      </c>
      <c r="P29" s="361" cm="1">
        <f t="array" ref="P29">_xlfn.IFS($B$20=Verbruiksprofielen!$A$5,Verbruiksprofielen!R11,Achtergrondparameters!$B$20=Verbruiksprofielen!$A$27,Verbruiksprofielen!R33,Achtergrondparameters!$B$20=Verbruiksprofielen!$A$49,Verbruiksprofielen!R55,Achtergrondparameters!$B$20=Verbruiksprofielen!$A$71,Verbruiksprofielen!R77,Achtergrondparameters!$B$20=Verbruiksprofielen!$A$93,Verbruiksprofielen!R99,Achtergrondparameters!$B$20=Verbruiksprofielen!$A$115,Verbruiksprofielen!R121,Achtergrondparameters!$B$20=Verbruiksprofielen!$A$136,Verbruiksprofielen!R142,Achtergrondparameters!$B$20=Verbruiksprofielen!$A$157,Verbruiksprofielen!R163)</f>
        <v>8000</v>
      </c>
      <c r="Q29" s="361" cm="1">
        <f t="array" ref="Q29">_xlfn.IFS($B$20=Verbruiksprofielen!$A$5,Verbruiksprofielen!S11,Achtergrondparameters!$B$20=Verbruiksprofielen!$A$27,Verbruiksprofielen!S33,Achtergrondparameters!$B$20=Verbruiksprofielen!$A$49,Verbruiksprofielen!S55,Achtergrondparameters!$B$20=Verbruiksprofielen!$A$71,Verbruiksprofielen!S77,Achtergrondparameters!$B$20=Verbruiksprofielen!$A$93,Verbruiksprofielen!S99,Achtergrondparameters!$B$20=Verbruiksprofielen!$A$115,Verbruiksprofielen!S121,Achtergrondparameters!$B$20=Verbruiksprofielen!$A$136,Verbruiksprofielen!S142,Achtergrondparameters!$B$20=Verbruiksprofielen!$A$157,Verbruiksprofielen!S163)</f>
        <v>8000</v>
      </c>
      <c r="R29" s="361" cm="1">
        <f t="array" ref="R29">_xlfn.IFS($B$20=Verbruiksprofielen!$A$5,Verbruiksprofielen!T11,Achtergrondparameters!$B$20=Verbruiksprofielen!$A$27,Verbruiksprofielen!T33,Achtergrondparameters!$B$20=Verbruiksprofielen!$A$49,Verbruiksprofielen!T55,Achtergrondparameters!$B$20=Verbruiksprofielen!$A$71,Verbruiksprofielen!T77,Achtergrondparameters!$B$20=Verbruiksprofielen!$A$93,Verbruiksprofielen!T99,Achtergrondparameters!$B$20=Verbruiksprofielen!$A$115,Verbruiksprofielen!T121,Achtergrondparameters!$B$20=Verbruiksprofielen!$A$136,Verbruiksprofielen!T142,Achtergrondparameters!$B$20=Verbruiksprofielen!$A$157,Verbruiksprofielen!T163)</f>
        <v>8000</v>
      </c>
      <c r="S29" s="361" cm="1">
        <f t="array" ref="S29">_xlfn.IFS($B$20=Verbruiksprofielen!$A$5,Verbruiksprofielen!U11,Achtergrondparameters!$B$20=Verbruiksprofielen!$A$27,Verbruiksprofielen!U33,Achtergrondparameters!$B$20=Verbruiksprofielen!$A$49,Verbruiksprofielen!U55,Achtergrondparameters!$B$20=Verbruiksprofielen!$A$71,Verbruiksprofielen!U77,Achtergrondparameters!$B$20=Verbruiksprofielen!$A$93,Verbruiksprofielen!U99,Achtergrondparameters!$B$20=Verbruiksprofielen!$A$115,Verbruiksprofielen!U121,Achtergrondparameters!$B$20=Verbruiksprofielen!$A$136,Verbruiksprofielen!U142,Achtergrondparameters!$B$20=Verbruiksprofielen!$A$157,Verbruiksprofielen!U163)</f>
        <v>8000</v>
      </c>
      <c r="T29" s="361" cm="1">
        <f t="array" ref="T29">_xlfn.IFS($B$20=Verbruiksprofielen!$A$5,Verbruiksprofielen!V11,Achtergrondparameters!$B$20=Verbruiksprofielen!$A$27,Verbruiksprofielen!V33,Achtergrondparameters!$B$20=Verbruiksprofielen!$A$49,Verbruiksprofielen!V55,Achtergrondparameters!$B$20=Verbruiksprofielen!$A$71,Verbruiksprofielen!V77,Achtergrondparameters!$B$20=Verbruiksprofielen!$A$93,Verbruiksprofielen!V99,Achtergrondparameters!$B$20=Verbruiksprofielen!$A$115,Verbruiksprofielen!V121,Achtergrondparameters!$B$20=Verbruiksprofielen!$A$136,Verbruiksprofielen!V142,Achtergrondparameters!$B$20=Verbruiksprofielen!$A$157,Verbruiksprofielen!V163)</f>
        <v>8000</v>
      </c>
      <c r="U29" s="361" cm="1">
        <f t="array" ref="U29">_xlfn.IFS($B$20=Verbruiksprofielen!$A$5,Verbruiksprofielen!W11,Achtergrondparameters!$B$20=Verbruiksprofielen!$A$27,Verbruiksprofielen!W33,Achtergrondparameters!$B$20=Verbruiksprofielen!$A$49,Verbruiksprofielen!W55,Achtergrondparameters!$B$20=Verbruiksprofielen!$A$71,Verbruiksprofielen!W77,Achtergrondparameters!$B$20=Verbruiksprofielen!$A$93,Verbruiksprofielen!W99,Achtergrondparameters!$B$20=Verbruiksprofielen!$A$115,Verbruiksprofielen!W121,Achtergrondparameters!$B$20=Verbruiksprofielen!$A$136,Verbruiksprofielen!W142,Achtergrondparameters!$B$20=Verbruiksprofielen!$A$157,Verbruiksprofielen!W163)</f>
        <v>8000</v>
      </c>
      <c r="V29" s="361" cm="1">
        <f t="array" ref="V29">_xlfn.IFS($B$20=Verbruiksprofielen!$A$5,Verbruiksprofielen!X11,Achtergrondparameters!$B$20=Verbruiksprofielen!$A$27,Verbruiksprofielen!X33,Achtergrondparameters!$B$20=Verbruiksprofielen!$A$49,Verbruiksprofielen!X55,Achtergrondparameters!$B$20=Verbruiksprofielen!$A$71,Verbruiksprofielen!X77,Achtergrondparameters!$B$20=Verbruiksprofielen!$A$93,Verbruiksprofielen!X99,Achtergrondparameters!$B$20=Verbruiksprofielen!$A$115,Verbruiksprofielen!X121,Achtergrondparameters!$B$20=Verbruiksprofielen!$A$136,Verbruiksprofielen!X142,Achtergrondparameters!$B$20=Verbruiksprofielen!$A$157,Verbruiksprofielen!X163)</f>
        <v>8000</v>
      </c>
      <c r="W29" s="361" cm="1">
        <f t="array" ref="W29">_xlfn.IFS($B$20=Verbruiksprofielen!$A$5,Verbruiksprofielen!Y11,Achtergrondparameters!$B$20=Verbruiksprofielen!$A$27,Verbruiksprofielen!Y33,Achtergrondparameters!$B$20=Verbruiksprofielen!$A$49,Verbruiksprofielen!Y55,Achtergrondparameters!$B$20=Verbruiksprofielen!$A$71,Verbruiksprofielen!Y77,Achtergrondparameters!$B$20=Verbruiksprofielen!$A$93,Verbruiksprofielen!Y99,Achtergrondparameters!$B$20=Verbruiksprofielen!$A$115,Verbruiksprofielen!Y121,Achtergrondparameters!$B$20=Verbruiksprofielen!$A$136,Verbruiksprofielen!Y142,Achtergrondparameters!$B$20=Verbruiksprofielen!$A$157,Verbruiksprofielen!Y163)</f>
        <v>8000</v>
      </c>
      <c r="X29" s="361" cm="1">
        <f t="array" ref="X29">_xlfn.IFS($B$20=Verbruiksprofielen!$A$5,Verbruiksprofielen!Z11,Achtergrondparameters!$B$20=Verbruiksprofielen!$A$27,Verbruiksprofielen!Z33,Achtergrondparameters!$B$20=Verbruiksprofielen!$A$49,Verbruiksprofielen!Z55,Achtergrondparameters!$B$20=Verbruiksprofielen!$A$71,Verbruiksprofielen!Z77,Achtergrondparameters!$B$20=Verbruiksprofielen!$A$93,Verbruiksprofielen!Z99,Achtergrondparameters!$B$20=Verbruiksprofielen!$A$115,Verbruiksprofielen!Z121,Achtergrondparameters!$B$20=Verbruiksprofielen!$A$136,Verbruiksprofielen!Z142,Achtergrondparameters!$B$20=Verbruiksprofielen!$A$157,Verbruiksprofielen!Z163)</f>
        <v>8000</v>
      </c>
      <c r="Y29" s="361" cm="1">
        <f t="array" ref="Y29">_xlfn.IFS($B$20=Verbruiksprofielen!$A$5,Verbruiksprofielen!AA11,Achtergrondparameters!$B$20=Verbruiksprofielen!$A$27,Verbruiksprofielen!AA33,Achtergrondparameters!$B$20=Verbruiksprofielen!$A$49,Verbruiksprofielen!AA55,Achtergrondparameters!$B$20=Verbruiksprofielen!$A$71,Verbruiksprofielen!AA77,Achtergrondparameters!$B$20=Verbruiksprofielen!$A$93,Verbruiksprofielen!AA99,Achtergrondparameters!$B$20=Verbruiksprofielen!$A$115,Verbruiksprofielen!AA121,Achtergrondparameters!$B$20=Verbruiksprofielen!$A$136,Verbruiksprofielen!AA142,Achtergrondparameters!$B$20=Verbruiksprofielen!$A$157,Verbruiksprofielen!AA163)</f>
        <v>8000</v>
      </c>
      <c r="Z29" s="361" cm="1">
        <f t="array" ref="Z29">_xlfn.IFS($B$20=Verbruiksprofielen!$A$5,Verbruiksprofielen!AB11,Achtergrondparameters!$B$20=Verbruiksprofielen!$A$27,Verbruiksprofielen!AB33,Achtergrondparameters!$B$20=Verbruiksprofielen!$A$49,Verbruiksprofielen!AB55,Achtergrondparameters!$B$20=Verbruiksprofielen!$A$71,Verbruiksprofielen!AB77,Achtergrondparameters!$B$20=Verbruiksprofielen!$A$93,Verbruiksprofielen!AB99,Achtergrondparameters!$B$20=Verbruiksprofielen!$A$115,Verbruiksprofielen!AB121,Achtergrondparameters!$B$20=Verbruiksprofielen!$A$136,Verbruiksprofielen!AB142,Achtergrondparameters!$B$20=Verbruiksprofielen!$A$157,Verbruiksprofielen!AB163)</f>
        <v>8000</v>
      </c>
      <c r="AA29" s="361" cm="1">
        <f t="array" ref="AA29">_xlfn.IFS($B$20=Verbruiksprofielen!$A$5,Verbruiksprofielen!AC11,Achtergrondparameters!$B$20=Verbruiksprofielen!$A$27,Verbruiksprofielen!AC33,Achtergrondparameters!$B$20=Verbruiksprofielen!$A$49,Verbruiksprofielen!AC55,Achtergrondparameters!$B$20=Verbruiksprofielen!$A$71,Verbruiksprofielen!AC77,Achtergrondparameters!$B$20=Verbruiksprofielen!$A$93,Verbruiksprofielen!AC99,Achtergrondparameters!$B$20=Verbruiksprofielen!$A$115,Verbruiksprofielen!AC121,Achtergrondparameters!$B$20=Verbruiksprofielen!$A$136,Verbruiksprofielen!AC142,Achtergrondparameters!$B$20=Verbruiksprofielen!$A$157,Verbruiksprofielen!AC163)</f>
        <v>8000</v>
      </c>
      <c r="AB29" s="361" cm="1">
        <f t="array" ref="AB29">_xlfn.IFS($B$20=Verbruiksprofielen!$A$5,Verbruiksprofielen!AD11,Achtergrondparameters!$B$20=Verbruiksprofielen!$A$27,Verbruiksprofielen!AD33,Achtergrondparameters!$B$20=Verbruiksprofielen!$A$49,Verbruiksprofielen!AD55,Achtergrondparameters!$B$20=Verbruiksprofielen!$A$71,Verbruiksprofielen!AD77,Achtergrondparameters!$B$20=Verbruiksprofielen!$A$93,Verbruiksprofielen!AD99,Achtergrondparameters!$B$20=Verbruiksprofielen!$A$115,Verbruiksprofielen!AD121,Achtergrondparameters!$B$20=Verbruiksprofielen!$A$136,Verbruiksprofielen!AD142,Achtergrondparameters!$B$20=Verbruiksprofielen!$A$157,Verbruiksprofielen!AD163)</f>
        <v>8000</v>
      </c>
      <c r="AC29" s="361" cm="1">
        <f t="array" ref="AC29">_xlfn.IFS($B$20=Verbruiksprofielen!$A$5,Verbruiksprofielen!AE11,Achtergrondparameters!$B$20=Verbruiksprofielen!$A$27,Verbruiksprofielen!AE33,Achtergrondparameters!$B$20=Verbruiksprofielen!$A$49,Verbruiksprofielen!AE55,Achtergrondparameters!$B$20=Verbruiksprofielen!$A$71,Verbruiksprofielen!AE77,Achtergrondparameters!$B$20=Verbruiksprofielen!$A$93,Verbruiksprofielen!AE99,Achtergrondparameters!$B$20=Verbruiksprofielen!$A$115,Verbruiksprofielen!AE121,Achtergrondparameters!$B$20=Verbruiksprofielen!$A$136,Verbruiksprofielen!AE142,Achtergrondparameters!$B$20=Verbruiksprofielen!$A$157,Verbruiksprofielen!AE163)</f>
        <v>8000</v>
      </c>
      <c r="AD29" s="361" cm="1">
        <f t="array" ref="AD29">_xlfn.IFS($B$20=Verbruiksprofielen!$A$5,Verbruiksprofielen!AF11,Achtergrondparameters!$B$20=Verbruiksprofielen!$A$27,Verbruiksprofielen!AF33,Achtergrondparameters!$B$20=Verbruiksprofielen!$A$49,Verbruiksprofielen!AF55,Achtergrondparameters!$B$20=Verbruiksprofielen!$A$71,Verbruiksprofielen!AF77,Achtergrondparameters!$B$20=Verbruiksprofielen!$A$93,Verbruiksprofielen!AF99,Achtergrondparameters!$B$20=Verbruiksprofielen!$A$115,Verbruiksprofielen!AF121,Achtergrondparameters!$B$20=Verbruiksprofielen!$A$136,Verbruiksprofielen!AF142,Achtergrondparameters!$B$20=Verbruiksprofielen!$A$157,Verbruiksprofielen!AF163)</f>
        <v>8000</v>
      </c>
      <c r="AE29" s="361" cm="1">
        <f t="array" ref="AE29">_xlfn.IFS($B$20=Verbruiksprofielen!$A$5,Verbruiksprofielen!AG11,Achtergrondparameters!$B$20=Verbruiksprofielen!$A$27,Verbruiksprofielen!AG33,Achtergrondparameters!$B$20=Verbruiksprofielen!$A$49,Verbruiksprofielen!AG55,Achtergrondparameters!$B$20=Verbruiksprofielen!$A$71,Verbruiksprofielen!AG77,Achtergrondparameters!$B$20=Verbruiksprofielen!$A$93,Verbruiksprofielen!AG99,Achtergrondparameters!$B$20=Verbruiksprofielen!$A$115,Verbruiksprofielen!AG121,Achtergrondparameters!$B$20=Verbruiksprofielen!$A$136,Verbruiksprofielen!AG142,Achtergrondparameters!$B$20=Verbruiksprofielen!$A$157,Verbruiksprofielen!AG163)</f>
        <v>8000</v>
      </c>
      <c r="AF29" s="361" cm="1">
        <f t="array" ref="AF29">_xlfn.IFS($B$20=Verbruiksprofielen!$A$5,Verbruiksprofielen!AH11,Achtergrondparameters!$B$20=Verbruiksprofielen!$A$27,Verbruiksprofielen!AH33,Achtergrondparameters!$B$20=Verbruiksprofielen!$A$49,Verbruiksprofielen!AH55,Achtergrondparameters!$B$20=Verbruiksprofielen!$A$71,Verbruiksprofielen!AH77,Achtergrondparameters!$B$20=Verbruiksprofielen!$A$93,Verbruiksprofielen!AH99,Achtergrondparameters!$B$20=Verbruiksprofielen!$A$115,Verbruiksprofielen!AH121,Achtergrondparameters!$B$20=Verbruiksprofielen!$A$136,Verbruiksprofielen!AH142,Achtergrondparameters!$B$20=Verbruiksprofielen!$A$157,Verbruiksprofielen!AH163)</f>
        <v>8000</v>
      </c>
      <c r="AG29" s="153"/>
    </row>
    <row r="30" spans="1:33" s="2" customFormat="1" ht="14.1" customHeight="1" x14ac:dyDescent="0.3">
      <c r="A30" s="236" t="s">
        <v>169</v>
      </c>
      <c r="B30" s="33"/>
      <c r="C30" s="28"/>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153"/>
    </row>
    <row r="31" spans="1:33" s="2" customFormat="1" ht="18" x14ac:dyDescent="0.3">
      <c r="A31" s="83" t="str">
        <f>"Netkosten " &amp; 'Dropdown lists'!B3</f>
        <v>Netkosten Fluvius</v>
      </c>
      <c r="B31" s="33" t="s">
        <v>170</v>
      </c>
      <c r="C31" s="28">
        <v>90.3</v>
      </c>
      <c r="D31" s="28">
        <f>C31*(1+Referentieparameters!$B$8)</f>
        <v>92.105999999999995</v>
      </c>
      <c r="E31" s="28">
        <f>D31*(1+Referentieparameters!$B$8)</f>
        <v>93.948120000000003</v>
      </c>
      <c r="F31" s="28">
        <f>E31*(1+Referentieparameters!$B$8)</f>
        <v>95.827082400000009</v>
      </c>
      <c r="G31" s="28">
        <f>F31*(1+Referentieparameters!$B$8)</f>
        <v>97.743624048000015</v>
      </c>
      <c r="H31" s="28">
        <f>G31*(1+Referentieparameters!$B$8)</f>
        <v>99.698496528960021</v>
      </c>
      <c r="I31" s="28">
        <f>H31*(1+Referentieparameters!$B$8)</f>
        <v>101.69246645953922</v>
      </c>
      <c r="J31" s="28">
        <f>I31*(1+Referentieparameters!$B$8)</f>
        <v>103.72631578873001</v>
      </c>
      <c r="K31" s="28">
        <f>J31*(1+Referentieparameters!$B$8)</f>
        <v>105.80084210450461</v>
      </c>
      <c r="L31" s="28">
        <f>K31*(1+Referentieparameters!$B$8)</f>
        <v>107.9168589465947</v>
      </c>
      <c r="M31" s="28">
        <f>L31*(1+Referentieparameters!$B$8)</f>
        <v>110.0751961255266</v>
      </c>
      <c r="N31" s="28">
        <f>M31*(1+Referentieparameters!$B$8)</f>
        <v>112.27670004803714</v>
      </c>
      <c r="O31" s="28">
        <f>N31*(1+Referentieparameters!$B$8)</f>
        <v>114.52223404899789</v>
      </c>
      <c r="P31" s="28">
        <f>O31*(1+Referentieparameters!$B$8)</f>
        <v>116.81267872997785</v>
      </c>
      <c r="Q31" s="28">
        <f>P31*(1+Referentieparameters!$B$8)</f>
        <v>119.1489323045774</v>
      </c>
      <c r="R31" s="28">
        <f>Q31*(1+Referentieparameters!$B$8)</f>
        <v>121.53191095066894</v>
      </c>
      <c r="S31" s="28">
        <f>R31*(1+Referentieparameters!$B$8)</f>
        <v>123.96254916968232</v>
      </c>
      <c r="T31" s="28">
        <f>S31*(1+Referentieparameters!$B$8)</f>
        <v>126.44180015307597</v>
      </c>
      <c r="U31" s="28">
        <f>T31*(1+Referentieparameters!$B$8)</f>
        <v>128.97063615613749</v>
      </c>
      <c r="V31" s="28">
        <f>U31*(1+Referentieparameters!$B$8)</f>
        <v>131.55004887926023</v>
      </c>
      <c r="W31" s="28">
        <f>V31*(1+Referentieparameters!$B$8)</f>
        <v>134.18104985684545</v>
      </c>
      <c r="X31" s="28">
        <f>W31*(1+Referentieparameters!$B$8)</f>
        <v>136.86467085398235</v>
      </c>
      <c r="Y31" s="28">
        <f>X31*(1+Referentieparameters!$B$8)</f>
        <v>139.601964271062</v>
      </c>
      <c r="Z31" s="28">
        <f>Y31*(1+Referentieparameters!$B$8)</f>
        <v>142.39400355648326</v>
      </c>
      <c r="AA31" s="28">
        <f>Z31*(1+Referentieparameters!$B$8)</f>
        <v>145.24188362761294</v>
      </c>
      <c r="AB31" s="28">
        <f>AA31*(1+Referentieparameters!$B$8)</f>
        <v>148.14672130016518</v>
      </c>
      <c r="AC31" s="28">
        <f>AB31*(1+Referentieparameters!$B$8)</f>
        <v>151.10965572616848</v>
      </c>
      <c r="AD31" s="28">
        <f>AC31*(1+Referentieparameters!$B$8)</f>
        <v>154.13184884069184</v>
      </c>
      <c r="AE31" s="28">
        <f>AD31*(1+Referentieparameters!$B$8)</f>
        <v>157.21448581750568</v>
      </c>
      <c r="AF31" s="28">
        <f>AE31*(1+Referentieparameters!$B$8)</f>
        <v>160.35877553385581</v>
      </c>
      <c r="AG31" s="153"/>
    </row>
    <row r="32" spans="1:33" s="2" customFormat="1" ht="18" x14ac:dyDescent="0.3">
      <c r="A32" s="83" t="str">
        <f>"Netkosten " &amp; 'Dropdown lists'!B4</f>
        <v>Netkosten 70/36/30 kV Elia</v>
      </c>
      <c r="B32" s="33" t="s">
        <v>170</v>
      </c>
      <c r="C32" s="28">
        <v>34.932499999999997</v>
      </c>
      <c r="D32" s="28">
        <f>C32*(1+Referentieparameters!$B$8)</f>
        <v>35.631149999999998</v>
      </c>
      <c r="E32" s="28">
        <f>D32*(1+Referentieparameters!$B$8)</f>
        <v>36.343772999999999</v>
      </c>
      <c r="F32" s="28">
        <f>E32*(1+Referentieparameters!$B$8)</f>
        <v>37.070648460000001</v>
      </c>
      <c r="G32" s="28">
        <f>F32*(1+Referentieparameters!$B$8)</f>
        <v>37.8120614292</v>
      </c>
      <c r="H32" s="28">
        <f>G32*(1+Referentieparameters!$B$8)</f>
        <v>38.568302657784002</v>
      </c>
      <c r="I32" s="28">
        <f>H32*(1+Referentieparameters!$B$8)</f>
        <v>39.339668710939684</v>
      </c>
      <c r="J32" s="28">
        <f>I32*(1+Referentieparameters!$B$8)</f>
        <v>40.126462085158479</v>
      </c>
      <c r="K32" s="28">
        <f>J32*(1+Referentieparameters!$B$8)</f>
        <v>40.928991326861649</v>
      </c>
      <c r="L32" s="28">
        <f>K32*(1+Referentieparameters!$B$8)</f>
        <v>41.74757115339888</v>
      </c>
      <c r="M32" s="28">
        <f>L32*(1+Referentieparameters!$B$8)</f>
        <v>42.582522576466857</v>
      </c>
      <c r="N32" s="28">
        <f>M32*(1+Referentieparameters!$B$8)</f>
        <v>43.434173027996195</v>
      </c>
      <c r="O32" s="28">
        <f>N32*(1+Referentieparameters!$B$8)</f>
        <v>44.302856488556117</v>
      </c>
      <c r="P32" s="28">
        <f>O32*(1+Referentieparameters!$B$8)</f>
        <v>45.188913618327241</v>
      </c>
      <c r="Q32" s="28">
        <f>P32*(1+Referentieparameters!$B$8)</f>
        <v>46.092691890693786</v>
      </c>
      <c r="R32" s="28">
        <f>Q32*(1+Referentieparameters!$B$8)</f>
        <v>47.014545728507663</v>
      </c>
      <c r="S32" s="28">
        <f>R32*(1+Referentieparameters!$B$8)</f>
        <v>47.954836643077819</v>
      </c>
      <c r="T32" s="28">
        <f>S32*(1+Referentieparameters!$B$8)</f>
        <v>48.913933375939379</v>
      </c>
      <c r="U32" s="28">
        <f>T32*(1+Referentieparameters!$B$8)</f>
        <v>49.892212043458166</v>
      </c>
      <c r="V32" s="28">
        <f>U32*(1+Referentieparameters!$B$8)</f>
        <v>50.890056284327329</v>
      </c>
      <c r="W32" s="28">
        <f>V32*(1+Referentieparameters!$B$8)</f>
        <v>51.907857410013875</v>
      </c>
      <c r="X32" s="28">
        <f>W32*(1+Referentieparameters!$B$8)</f>
        <v>52.946014558214152</v>
      </c>
      <c r="Y32" s="28">
        <f>X32*(1+Referentieparameters!$B$8)</f>
        <v>54.004934849378436</v>
      </c>
      <c r="Z32" s="28">
        <f>Y32*(1+Referentieparameters!$B$8)</f>
        <v>55.085033546366006</v>
      </c>
      <c r="AA32" s="28">
        <f>Z32*(1+Referentieparameters!$B$8)</f>
        <v>56.186734217293328</v>
      </c>
      <c r="AB32" s="28">
        <f>AA32*(1+Referentieparameters!$B$8)</f>
        <v>57.310468901639197</v>
      </c>
      <c r="AC32" s="28">
        <f>AB32*(1+Referentieparameters!$B$8)</f>
        <v>58.456678279671983</v>
      </c>
      <c r="AD32" s="28">
        <f>AC32*(1+Referentieparameters!$B$8)</f>
        <v>59.625811845265424</v>
      </c>
      <c r="AE32" s="28">
        <f>AD32*(1+Referentieparameters!$B$8)</f>
        <v>60.818328082170737</v>
      </c>
      <c r="AF32" s="28">
        <f>AE32*(1+Referentieparameters!$B$8)</f>
        <v>62.034694643814156</v>
      </c>
      <c r="AG32" s="153"/>
    </row>
    <row r="33" spans="1:33" s="2" customFormat="1" ht="14.1" customHeight="1" x14ac:dyDescent="0.3">
      <c r="A33" s="83" t="str">
        <f>"Netkosten " &amp; 'Dropdown lists'!B5</f>
        <v>Netkosten 380/220/150 kV Elia</v>
      </c>
      <c r="B33" s="33" t="s">
        <v>170</v>
      </c>
      <c r="C33" s="28">
        <v>26.9754</v>
      </c>
      <c r="D33" s="28">
        <f>C33*(1+Referentieparameters!$B$8)</f>
        <v>27.514908000000002</v>
      </c>
      <c r="E33" s="28">
        <f>D33*(1+Referentieparameters!$B$8)</f>
        <v>28.065206160000002</v>
      </c>
      <c r="F33" s="28">
        <f>E33*(1+Referentieparameters!$B$8)</f>
        <v>28.626510283200002</v>
      </c>
      <c r="G33" s="28">
        <f>F33*(1+Referentieparameters!$B$8)</f>
        <v>29.199040488864004</v>
      </c>
      <c r="H33" s="28">
        <f>G33*(1+Referentieparameters!$B$8)</f>
        <v>29.783021298641284</v>
      </c>
      <c r="I33" s="28">
        <f>H33*(1+Referentieparameters!$B$8)</f>
        <v>30.378681724614111</v>
      </c>
      <c r="J33" s="28">
        <f>I33*(1+Referentieparameters!$B$8)</f>
        <v>30.986255359106394</v>
      </c>
      <c r="K33" s="28">
        <f>J33*(1+Referentieparameters!$B$8)</f>
        <v>31.605980466288521</v>
      </c>
      <c r="L33" s="28">
        <f>K33*(1+Referentieparameters!$B$8)</f>
        <v>32.238100075614291</v>
      </c>
      <c r="M33" s="28">
        <f>L33*(1+Referentieparameters!$B$8)</f>
        <v>32.882862077126575</v>
      </c>
      <c r="N33" s="28">
        <f>M33*(1+Referentieparameters!$B$8)</f>
        <v>33.540519318669105</v>
      </c>
      <c r="O33" s="28">
        <f>N33*(1+Referentieparameters!$B$8)</f>
        <v>34.211329705042488</v>
      </c>
      <c r="P33" s="28">
        <f>O33*(1+Referentieparameters!$B$8)</f>
        <v>34.895556299143337</v>
      </c>
      <c r="Q33" s="28">
        <f>P33*(1+Referentieparameters!$B$8)</f>
        <v>35.593467425126207</v>
      </c>
      <c r="R33" s="28">
        <f>Q33*(1+Referentieparameters!$B$8)</f>
        <v>36.305336773628731</v>
      </c>
      <c r="S33" s="28">
        <f>R33*(1+Referentieparameters!$B$8)</f>
        <v>37.031443509101308</v>
      </c>
      <c r="T33" s="28">
        <f>S33*(1+Referentieparameters!$B$8)</f>
        <v>37.772072379283337</v>
      </c>
      <c r="U33" s="28">
        <f>T33*(1+Referentieparameters!$B$8)</f>
        <v>38.527513826869004</v>
      </c>
      <c r="V33" s="28">
        <f>U33*(1+Referentieparameters!$B$8)</f>
        <v>39.298064103406382</v>
      </c>
      <c r="W33" s="28">
        <f>V33*(1+Referentieparameters!$B$8)</f>
        <v>40.084025385474511</v>
      </c>
      <c r="X33" s="28">
        <f>W33*(1+Referentieparameters!$B$8)</f>
        <v>40.885705893184003</v>
      </c>
      <c r="Y33" s="28">
        <f>X33*(1+Referentieparameters!$B$8)</f>
        <v>41.703420011047683</v>
      </c>
      <c r="Z33" s="28">
        <f>Y33*(1+Referentieparameters!$B$8)</f>
        <v>42.53748841126864</v>
      </c>
      <c r="AA33" s="28">
        <f>Z33*(1+Referentieparameters!$B$8)</f>
        <v>43.388238179494017</v>
      </c>
      <c r="AB33" s="28">
        <f>AA33*(1+Referentieparameters!$B$8)</f>
        <v>44.256002943083899</v>
      </c>
      <c r="AC33" s="28">
        <f>AB33*(1+Referentieparameters!$B$8)</f>
        <v>45.14112300194558</v>
      </c>
      <c r="AD33" s="28">
        <f>AC33*(1+Referentieparameters!$B$8)</f>
        <v>46.043945461984492</v>
      </c>
      <c r="AE33" s="28">
        <f>AD33*(1+Referentieparameters!$B$8)</f>
        <v>46.964824371224182</v>
      </c>
      <c r="AF33" s="28">
        <f>AE33*(1+Referentieparameters!$B$8)</f>
        <v>47.904120858648668</v>
      </c>
      <c r="AG33" s="153"/>
    </row>
    <row r="34" spans="1:33" s="2" customFormat="1" ht="18" x14ac:dyDescent="0.3">
      <c r="A34" s="207" t="s">
        <v>171</v>
      </c>
      <c r="B34" s="56" t="s">
        <v>172</v>
      </c>
      <c r="C34" s="50">
        <v>4.0000000000000001E-3</v>
      </c>
      <c r="D34" s="50">
        <f>C34*(1+Referentieparameters!$B$8)</f>
        <v>4.0800000000000003E-3</v>
      </c>
      <c r="E34" s="50">
        <f>D34*(1+Referentieparameters!$B$8)</f>
        <v>4.1616000000000005E-3</v>
      </c>
      <c r="F34" s="50">
        <f>E34*(1+Referentieparameters!$B$8)</f>
        <v>4.2448320000000005E-3</v>
      </c>
      <c r="G34" s="50">
        <f>F34*(1+Referentieparameters!$B$8)</f>
        <v>4.3297286400000006E-3</v>
      </c>
      <c r="H34" s="50">
        <f>G34*(1+Referentieparameters!$B$8)</f>
        <v>4.4163232128000005E-3</v>
      </c>
      <c r="I34" s="50">
        <f>H34*(1+Referentieparameters!$B$8)</f>
        <v>4.504649677056001E-3</v>
      </c>
      <c r="J34" s="50">
        <f>I34*(1+Referentieparameters!$B$8)</f>
        <v>4.594742670597121E-3</v>
      </c>
      <c r="K34" s="50">
        <f>J34*(1+Referentieparameters!$B$8)</f>
        <v>4.6866375240090631E-3</v>
      </c>
      <c r="L34" s="50">
        <f>K34*(1+Referentieparameters!$B$8)</f>
        <v>4.7803702744892446E-3</v>
      </c>
      <c r="M34" s="50">
        <f>L34*(1+Referentieparameters!$B$8)</f>
        <v>4.8759776799790298E-3</v>
      </c>
      <c r="N34" s="50">
        <f>M34*(1+Referentieparameters!$B$8)</f>
        <v>4.9734972335786108E-3</v>
      </c>
      <c r="O34" s="50">
        <f>N34*(1+Referentieparameters!$B$8)</f>
        <v>5.0729671782501831E-3</v>
      </c>
      <c r="P34" s="50">
        <f>O34*(1+Referentieparameters!$B$8)</f>
        <v>5.1744265218151867E-3</v>
      </c>
      <c r="Q34" s="50">
        <f>P34*(1+Referentieparameters!$B$8)</f>
        <v>5.2779150522514907E-3</v>
      </c>
      <c r="R34" s="50">
        <f>Q34*(1+Referentieparameters!$B$8)</f>
        <v>5.3834733532965202E-3</v>
      </c>
      <c r="S34" s="50">
        <f>R34*(1+Referentieparameters!$B$8)</f>
        <v>5.4911428203624508E-3</v>
      </c>
      <c r="T34" s="50">
        <f>S34*(1+Referentieparameters!$B$8)</f>
        <v>5.6009656767696996E-3</v>
      </c>
      <c r="U34" s="50">
        <f>T34*(1+Referentieparameters!$B$8)</f>
        <v>5.7129849903050939E-3</v>
      </c>
      <c r="V34" s="50">
        <f>U34*(1+Referentieparameters!$B$8)</f>
        <v>5.8272446901111961E-3</v>
      </c>
      <c r="W34" s="50">
        <f>V34*(1+Referentieparameters!$B$8)</f>
        <v>5.9437895839134199E-3</v>
      </c>
      <c r="X34" s="50">
        <f>W34*(1+Referentieparameters!$B$8)</f>
        <v>6.062665375591688E-3</v>
      </c>
      <c r="Y34" s="28">
        <f>X34*(1+Referentieparameters!$B$8)</f>
        <v>6.1839186831035217E-3</v>
      </c>
      <c r="Z34" s="28">
        <f>Y34*(1+Referentieparameters!$B$8)</f>
        <v>6.3075970567655921E-3</v>
      </c>
      <c r="AA34" s="28">
        <f>Z34*(1+Referentieparameters!$B$8)</f>
        <v>6.4337489979009038E-3</v>
      </c>
      <c r="AB34" s="28">
        <f>AA34*(1+Referentieparameters!$B$8)</f>
        <v>6.5624239778589218E-3</v>
      </c>
      <c r="AC34" s="28">
        <f>AB34*(1+Referentieparameters!$B$8)</f>
        <v>6.6936724574161001E-3</v>
      </c>
      <c r="AD34" s="28">
        <f>AC34*(1+Referentieparameters!$B$8)</f>
        <v>6.8275459065644225E-3</v>
      </c>
      <c r="AE34" s="28">
        <f>AD34*(1+Referentieparameters!$B$8)</f>
        <v>6.9640968246957114E-3</v>
      </c>
      <c r="AF34" s="28">
        <f>AE34*(1+Referentieparameters!$B$8)</f>
        <v>7.1033787611896257E-3</v>
      </c>
      <c r="AG34" s="153"/>
    </row>
    <row r="35" spans="1:33" ht="14.25" customHeight="1" x14ac:dyDescent="0.2">
      <c r="A35" s="46" t="s">
        <v>173</v>
      </c>
      <c r="B35" s="56"/>
      <c r="C35" s="155">
        <v>4.4499999999999998E-2</v>
      </c>
      <c r="D35" s="156">
        <v>4.4499999999999998E-2</v>
      </c>
      <c r="E35" s="156">
        <v>4.4499999999999998E-2</v>
      </c>
      <c r="F35" s="156">
        <v>4.4499999999999998E-2</v>
      </c>
      <c r="G35" s="156">
        <v>4.4499999999999998E-2</v>
      </c>
      <c r="H35" s="156">
        <v>4.4499999999999998E-2</v>
      </c>
      <c r="I35" s="156">
        <v>4.4499999999999998E-2</v>
      </c>
      <c r="J35" s="156">
        <v>4.4499999999999998E-2</v>
      </c>
      <c r="K35" s="156">
        <v>4.4499999999999998E-2</v>
      </c>
      <c r="L35" s="156">
        <v>4.4499999999999998E-2</v>
      </c>
      <c r="M35" s="156">
        <v>4.4499999999999998E-2</v>
      </c>
      <c r="N35" s="156">
        <v>4.4499999999999998E-2</v>
      </c>
      <c r="O35" s="156">
        <v>4.4499999999999998E-2</v>
      </c>
      <c r="P35" s="156">
        <v>4.4499999999999998E-2</v>
      </c>
      <c r="Q35" s="156">
        <v>4.4499999999999998E-2</v>
      </c>
      <c r="R35" s="156">
        <v>4.4499999999999998E-2</v>
      </c>
      <c r="S35" s="156">
        <v>4.4499999999999998E-2</v>
      </c>
      <c r="T35" s="156">
        <v>4.4499999999999998E-2</v>
      </c>
      <c r="U35" s="156">
        <v>4.4499999999999998E-2</v>
      </c>
      <c r="V35" s="156">
        <v>4.4499999999999998E-2</v>
      </c>
      <c r="W35" s="156">
        <v>4.4499999999999998E-2</v>
      </c>
      <c r="X35" s="156">
        <v>4.4499999999999998E-2</v>
      </c>
      <c r="Y35" s="156">
        <v>4.4499999999999998E-2</v>
      </c>
      <c r="Z35" s="156">
        <v>4.4499999999999998E-2</v>
      </c>
      <c r="AA35" s="156">
        <v>4.4499999999999998E-2</v>
      </c>
      <c r="AB35" s="156">
        <v>4.4499999999999998E-2</v>
      </c>
      <c r="AC35" s="156">
        <v>4.4499999999999998E-2</v>
      </c>
      <c r="AD35" s="156">
        <v>4.4499999999999998E-2</v>
      </c>
      <c r="AE35" s="156">
        <v>4.4499999999999998E-2</v>
      </c>
      <c r="AF35" s="156">
        <v>4.4499999999999998E-2</v>
      </c>
      <c r="AG35" s="153"/>
    </row>
    <row r="36" spans="1:33" ht="14.25" customHeight="1" x14ac:dyDescent="0.2">
      <c r="B36" s="2"/>
    </row>
    <row r="37" spans="1:33" ht="14.25" customHeight="1" x14ac:dyDescent="0.2">
      <c r="A37" s="57" t="s">
        <v>75</v>
      </c>
      <c r="B37" s="2"/>
    </row>
    <row r="38" spans="1:33" ht="14.25" customHeight="1" x14ac:dyDescent="0.2">
      <c r="A38" s="57"/>
      <c r="B38" s="2"/>
    </row>
    <row r="39" spans="1:33" ht="14.25" customHeight="1" x14ac:dyDescent="0.2">
      <c r="A39" s="54" t="s">
        <v>76</v>
      </c>
      <c r="B39" s="2"/>
    </row>
    <row r="40" spans="1:33" ht="14.25" customHeight="1" x14ac:dyDescent="0.2">
      <c r="A40" s="212" t="s">
        <v>135</v>
      </c>
      <c r="B40" s="58" t="s">
        <v>81</v>
      </c>
      <c r="C40" s="154" t="s">
        <v>136</v>
      </c>
      <c r="D40" s="154" t="s">
        <v>137</v>
      </c>
      <c r="E40" s="154" t="s">
        <v>138</v>
      </c>
      <c r="F40" s="154" t="s">
        <v>139</v>
      </c>
      <c r="G40" s="154" t="s">
        <v>140</v>
      </c>
      <c r="H40" s="154" t="s">
        <v>141</v>
      </c>
      <c r="I40" s="154" t="s">
        <v>142</v>
      </c>
      <c r="J40" s="154" t="s">
        <v>143</v>
      </c>
      <c r="K40" s="154" t="s">
        <v>144</v>
      </c>
      <c r="L40" s="154" t="s">
        <v>145</v>
      </c>
      <c r="M40" s="154" t="s">
        <v>146</v>
      </c>
      <c r="N40" s="154" t="s">
        <v>147</v>
      </c>
      <c r="O40" s="154" t="s">
        <v>148</v>
      </c>
      <c r="P40" s="154" t="s">
        <v>149</v>
      </c>
      <c r="Q40" s="154" t="s">
        <v>150</v>
      </c>
      <c r="R40" s="154" t="s">
        <v>151</v>
      </c>
      <c r="S40" s="154" t="s">
        <v>152</v>
      </c>
      <c r="T40" s="154" t="s">
        <v>153</v>
      </c>
      <c r="U40" s="154" t="s">
        <v>154</v>
      </c>
      <c r="V40" s="154" t="s">
        <v>155</v>
      </c>
      <c r="W40" s="154" t="s">
        <v>156</v>
      </c>
      <c r="X40" s="154" t="s">
        <v>157</v>
      </c>
      <c r="Y40" s="154" t="s">
        <v>158</v>
      </c>
      <c r="Z40" s="154" t="s">
        <v>159</v>
      </c>
      <c r="AA40" s="154" t="s">
        <v>160</v>
      </c>
      <c r="AB40" s="154" t="s">
        <v>161</v>
      </c>
      <c r="AC40" s="154" t="s">
        <v>162</v>
      </c>
      <c r="AD40" s="154" t="s">
        <v>163</v>
      </c>
      <c r="AE40" s="154" t="s">
        <v>164</v>
      </c>
      <c r="AF40" s="154" t="s">
        <v>165</v>
      </c>
    </row>
    <row r="41" spans="1:33" ht="14.25" customHeight="1" x14ac:dyDescent="0.2">
      <c r="A41" s="18" t="s">
        <v>174</v>
      </c>
      <c r="B41" s="33" t="s">
        <v>90</v>
      </c>
      <c r="C41" s="50" cm="1">
        <f t="array" ref="C41">_xlfn.IFS($B$20=Verbruiksprofielen!$A$5,Verbruiksprofielen!E14,Achtergrondparameters!$B$20=Verbruiksprofielen!$A$27,Verbruiksprofielen!E36,Achtergrondparameters!$B$20=Verbruiksprofielen!$A$49,Verbruiksprofielen!E58,Achtergrondparameters!$B$20=Verbruiksprofielen!$A$71,Verbruiksprofielen!E80,Achtergrondparameters!$B$20=Verbruiksprofielen!$A$93,Verbruiksprofielen!E102,Achtergrondparameters!$B$20=Verbruiksprofielen!$A$115,Verbruiksprofielen!E124,Achtergrondparameters!$B$20=Verbruiksprofielen!$A$136,Verbruiksprofielen!E145,Achtergrondparameters!$B$20=Verbruiksprofielen!$A$157,Verbruiksprofielen!E166)</f>
        <v>2.4E-2</v>
      </c>
      <c r="D41" s="50" cm="1">
        <f t="array" ref="D41">_xlfn.IFS($B$20=Verbruiksprofielen!$A$5,Verbruiksprofielen!F14,Achtergrondparameters!$B$20=Verbruiksprofielen!$A$27,Verbruiksprofielen!F36,Achtergrondparameters!$B$20=Verbruiksprofielen!$A$49,Verbruiksprofielen!F58,Achtergrondparameters!$B$20=Verbruiksprofielen!$A$71,Verbruiksprofielen!F80,Achtergrondparameters!$B$20=Verbruiksprofielen!$A$93,Verbruiksprofielen!F102,Achtergrondparameters!$B$20=Verbruiksprofielen!$A$115,Verbruiksprofielen!F124,Achtergrondparameters!$B$20=Verbruiksprofielen!$A$136,Verbruiksprofielen!F145,Achtergrondparameters!$B$20=Verbruiksprofielen!$A$157,Verbruiksprofielen!F166)</f>
        <v>2.4E-2</v>
      </c>
      <c r="E41" s="50" cm="1">
        <f t="array" ref="E41">_xlfn.IFS($B$20=Verbruiksprofielen!$A$5,Verbruiksprofielen!G14,Achtergrondparameters!$B$20=Verbruiksprofielen!$A$27,Verbruiksprofielen!G36,Achtergrondparameters!$B$20=Verbruiksprofielen!$A$49,Verbruiksprofielen!G58,Achtergrondparameters!$B$20=Verbruiksprofielen!$A$71,Verbruiksprofielen!G80,Achtergrondparameters!$B$20=Verbruiksprofielen!$A$93,Verbruiksprofielen!G102,Achtergrondparameters!$B$20=Verbruiksprofielen!$A$115,Verbruiksprofielen!G124,Achtergrondparameters!$B$20=Verbruiksprofielen!$A$136,Verbruiksprofielen!G145,Achtergrondparameters!$B$20=Verbruiksprofielen!$A$157,Verbruiksprofielen!G166)</f>
        <v>2.4E-2</v>
      </c>
      <c r="F41" s="50" cm="1">
        <f t="array" ref="F41">_xlfn.IFS($B$20=Verbruiksprofielen!$A$5,Verbruiksprofielen!H14,Achtergrondparameters!$B$20=Verbruiksprofielen!$A$27,Verbruiksprofielen!H36,Achtergrondparameters!$B$20=Verbruiksprofielen!$A$49,Verbruiksprofielen!H58,Achtergrondparameters!$B$20=Verbruiksprofielen!$A$71,Verbruiksprofielen!H80,Achtergrondparameters!$B$20=Verbruiksprofielen!$A$93,Verbruiksprofielen!H102,Achtergrondparameters!$B$20=Verbruiksprofielen!$A$115,Verbruiksprofielen!H124,Achtergrondparameters!$B$20=Verbruiksprofielen!$A$136,Verbruiksprofielen!H145,Achtergrondparameters!$B$20=Verbruiksprofielen!$A$157,Verbruiksprofielen!H166)</f>
        <v>2.4E-2</v>
      </c>
      <c r="G41" s="50" cm="1">
        <f t="array" ref="G41">_xlfn.IFS($B$20=Verbruiksprofielen!$A$5,Verbruiksprofielen!I14,Achtergrondparameters!$B$20=Verbruiksprofielen!$A$27,Verbruiksprofielen!I36,Achtergrondparameters!$B$20=Verbruiksprofielen!$A$49,Verbruiksprofielen!I58,Achtergrondparameters!$B$20=Verbruiksprofielen!$A$71,Verbruiksprofielen!I80,Achtergrondparameters!$B$20=Verbruiksprofielen!$A$93,Verbruiksprofielen!I102,Achtergrondparameters!$B$20=Verbruiksprofielen!$A$115,Verbruiksprofielen!I124,Achtergrondparameters!$B$20=Verbruiksprofielen!$A$136,Verbruiksprofielen!I145,Achtergrondparameters!$B$20=Verbruiksprofielen!$A$157,Verbruiksprofielen!I166)</f>
        <v>2.4E-2</v>
      </c>
      <c r="H41" s="50" cm="1">
        <f t="array" ref="H41">_xlfn.IFS($B$20=Verbruiksprofielen!$A$5,Verbruiksprofielen!J14,Achtergrondparameters!$B$20=Verbruiksprofielen!$A$27,Verbruiksprofielen!J36,Achtergrondparameters!$B$20=Verbruiksprofielen!$A$49,Verbruiksprofielen!J58,Achtergrondparameters!$B$20=Verbruiksprofielen!$A$71,Verbruiksprofielen!J80,Achtergrondparameters!$B$20=Verbruiksprofielen!$A$93,Verbruiksprofielen!J102,Achtergrondparameters!$B$20=Verbruiksprofielen!$A$115,Verbruiksprofielen!J124,Achtergrondparameters!$B$20=Verbruiksprofielen!$A$136,Verbruiksprofielen!J145,Achtergrondparameters!$B$20=Verbruiksprofielen!$A$157,Verbruiksprofielen!J166)</f>
        <v>2.4E-2</v>
      </c>
      <c r="I41" s="50" cm="1">
        <f t="array" ref="I41">_xlfn.IFS($B$20=Verbruiksprofielen!$A$5,Verbruiksprofielen!K14,Achtergrondparameters!$B$20=Verbruiksprofielen!$A$27,Verbruiksprofielen!K36,Achtergrondparameters!$B$20=Verbruiksprofielen!$A$49,Verbruiksprofielen!K58,Achtergrondparameters!$B$20=Verbruiksprofielen!$A$71,Verbruiksprofielen!K80,Achtergrondparameters!$B$20=Verbruiksprofielen!$A$93,Verbruiksprofielen!K102,Achtergrondparameters!$B$20=Verbruiksprofielen!$A$115,Verbruiksprofielen!K124,Achtergrondparameters!$B$20=Verbruiksprofielen!$A$136,Verbruiksprofielen!K145,Achtergrondparameters!$B$20=Verbruiksprofielen!$A$157,Verbruiksprofielen!K166)</f>
        <v>2.4E-2</v>
      </c>
      <c r="J41" s="50" cm="1">
        <f t="array" ref="J41">_xlfn.IFS($B$20=Verbruiksprofielen!$A$5,Verbruiksprofielen!L14,Achtergrondparameters!$B$20=Verbruiksprofielen!$A$27,Verbruiksprofielen!L36,Achtergrondparameters!$B$20=Verbruiksprofielen!$A$49,Verbruiksprofielen!L58,Achtergrondparameters!$B$20=Verbruiksprofielen!$A$71,Verbruiksprofielen!L80,Achtergrondparameters!$B$20=Verbruiksprofielen!$A$93,Verbruiksprofielen!L102,Achtergrondparameters!$B$20=Verbruiksprofielen!$A$115,Verbruiksprofielen!L124,Achtergrondparameters!$B$20=Verbruiksprofielen!$A$136,Verbruiksprofielen!L145,Achtergrondparameters!$B$20=Verbruiksprofielen!$A$157,Verbruiksprofielen!L166)</f>
        <v>2.4E-2</v>
      </c>
      <c r="K41" s="50" cm="1">
        <f t="array" ref="K41">_xlfn.IFS($B$20=Verbruiksprofielen!$A$5,Verbruiksprofielen!M14,Achtergrondparameters!$B$20=Verbruiksprofielen!$A$27,Verbruiksprofielen!M36,Achtergrondparameters!$B$20=Verbruiksprofielen!$A$49,Verbruiksprofielen!M58,Achtergrondparameters!$B$20=Verbruiksprofielen!$A$71,Verbruiksprofielen!M80,Achtergrondparameters!$B$20=Verbruiksprofielen!$A$93,Verbruiksprofielen!M102,Achtergrondparameters!$B$20=Verbruiksprofielen!$A$115,Verbruiksprofielen!M124,Achtergrondparameters!$B$20=Verbruiksprofielen!$A$136,Verbruiksprofielen!M145,Achtergrondparameters!$B$20=Verbruiksprofielen!$A$157,Verbruiksprofielen!M166)</f>
        <v>2.4E-2</v>
      </c>
      <c r="L41" s="50" cm="1">
        <f t="array" ref="L41">_xlfn.IFS($B$20=Verbruiksprofielen!$A$5,Verbruiksprofielen!N14,Achtergrondparameters!$B$20=Verbruiksprofielen!$A$27,Verbruiksprofielen!N36,Achtergrondparameters!$B$20=Verbruiksprofielen!$A$49,Verbruiksprofielen!N58,Achtergrondparameters!$B$20=Verbruiksprofielen!$A$71,Verbruiksprofielen!N80,Achtergrondparameters!$B$20=Verbruiksprofielen!$A$93,Verbruiksprofielen!N102,Achtergrondparameters!$B$20=Verbruiksprofielen!$A$115,Verbruiksprofielen!N124,Achtergrondparameters!$B$20=Verbruiksprofielen!$A$136,Verbruiksprofielen!N145,Achtergrondparameters!$B$20=Verbruiksprofielen!$A$157,Verbruiksprofielen!N166)</f>
        <v>2.4E-2</v>
      </c>
      <c r="M41" s="50" cm="1">
        <f t="array" ref="M41">_xlfn.IFS($B$20=Verbruiksprofielen!$A$5,Verbruiksprofielen!O14,Achtergrondparameters!$B$20=Verbruiksprofielen!$A$27,Verbruiksprofielen!O36,Achtergrondparameters!$B$20=Verbruiksprofielen!$A$49,Verbruiksprofielen!O58,Achtergrondparameters!$B$20=Verbruiksprofielen!$A$71,Verbruiksprofielen!O80,Achtergrondparameters!$B$20=Verbruiksprofielen!$A$93,Verbruiksprofielen!O102,Achtergrondparameters!$B$20=Verbruiksprofielen!$A$115,Verbruiksprofielen!O124,Achtergrondparameters!$B$20=Verbruiksprofielen!$A$136,Verbruiksprofielen!O145,Achtergrondparameters!$B$20=Verbruiksprofielen!$A$157,Verbruiksprofielen!O166)</f>
        <v>2.4E-2</v>
      </c>
      <c r="N41" s="50" cm="1">
        <f t="array" ref="N41">_xlfn.IFS($B$20=Verbruiksprofielen!$A$5,Verbruiksprofielen!P14,Achtergrondparameters!$B$20=Verbruiksprofielen!$A$27,Verbruiksprofielen!P36,Achtergrondparameters!$B$20=Verbruiksprofielen!$A$49,Verbruiksprofielen!P58,Achtergrondparameters!$B$20=Verbruiksprofielen!$A$71,Verbruiksprofielen!P80,Achtergrondparameters!$B$20=Verbruiksprofielen!$A$93,Verbruiksprofielen!P102,Achtergrondparameters!$B$20=Verbruiksprofielen!$A$115,Verbruiksprofielen!P124,Achtergrondparameters!$B$20=Verbruiksprofielen!$A$136,Verbruiksprofielen!P145,Achtergrondparameters!$B$20=Verbruiksprofielen!$A$157,Verbruiksprofielen!P166)</f>
        <v>2.4E-2</v>
      </c>
      <c r="O41" s="50" cm="1">
        <f t="array" ref="O41">_xlfn.IFS($B$20=Verbruiksprofielen!$A$5,Verbruiksprofielen!Q14,Achtergrondparameters!$B$20=Verbruiksprofielen!$A$27,Verbruiksprofielen!Q36,Achtergrondparameters!$B$20=Verbruiksprofielen!$A$49,Verbruiksprofielen!Q58,Achtergrondparameters!$B$20=Verbruiksprofielen!$A$71,Verbruiksprofielen!Q80,Achtergrondparameters!$B$20=Verbruiksprofielen!$A$93,Verbruiksprofielen!Q102,Achtergrondparameters!$B$20=Verbruiksprofielen!$A$115,Verbruiksprofielen!Q124,Achtergrondparameters!$B$20=Verbruiksprofielen!$A$136,Verbruiksprofielen!Q145,Achtergrondparameters!$B$20=Verbruiksprofielen!$A$157,Verbruiksprofielen!Q166)</f>
        <v>2.4E-2</v>
      </c>
      <c r="P41" s="50" cm="1">
        <f t="array" ref="P41">_xlfn.IFS($B$20=Verbruiksprofielen!$A$5,Verbruiksprofielen!R14,Achtergrondparameters!$B$20=Verbruiksprofielen!$A$27,Verbruiksprofielen!R36,Achtergrondparameters!$B$20=Verbruiksprofielen!$A$49,Verbruiksprofielen!R58,Achtergrondparameters!$B$20=Verbruiksprofielen!$A$71,Verbruiksprofielen!R80,Achtergrondparameters!$B$20=Verbruiksprofielen!$A$93,Verbruiksprofielen!R102,Achtergrondparameters!$B$20=Verbruiksprofielen!$A$115,Verbruiksprofielen!R124,Achtergrondparameters!$B$20=Verbruiksprofielen!$A$136,Verbruiksprofielen!R145,Achtergrondparameters!$B$20=Verbruiksprofielen!$A$157,Verbruiksprofielen!R166)</f>
        <v>2.4E-2</v>
      </c>
      <c r="Q41" s="50" cm="1">
        <f t="array" ref="Q41">_xlfn.IFS($B$20=Verbruiksprofielen!$A$5,Verbruiksprofielen!S14,Achtergrondparameters!$B$20=Verbruiksprofielen!$A$27,Verbruiksprofielen!S36,Achtergrondparameters!$B$20=Verbruiksprofielen!$A$49,Verbruiksprofielen!S58,Achtergrondparameters!$B$20=Verbruiksprofielen!$A$71,Verbruiksprofielen!S80,Achtergrondparameters!$B$20=Verbruiksprofielen!$A$93,Verbruiksprofielen!S102,Achtergrondparameters!$B$20=Verbruiksprofielen!$A$115,Verbruiksprofielen!S124,Achtergrondparameters!$B$20=Verbruiksprofielen!$A$136,Verbruiksprofielen!S145,Achtergrondparameters!$B$20=Verbruiksprofielen!$A$157,Verbruiksprofielen!S166)</f>
        <v>2.4E-2</v>
      </c>
      <c r="R41" s="50" cm="1">
        <f t="array" ref="R41">_xlfn.IFS($B$20=Verbruiksprofielen!$A$5,Verbruiksprofielen!T14,Achtergrondparameters!$B$20=Verbruiksprofielen!$A$27,Verbruiksprofielen!T36,Achtergrondparameters!$B$20=Verbruiksprofielen!$A$49,Verbruiksprofielen!T58,Achtergrondparameters!$B$20=Verbruiksprofielen!$A$71,Verbruiksprofielen!T80,Achtergrondparameters!$B$20=Verbruiksprofielen!$A$93,Verbruiksprofielen!T102,Achtergrondparameters!$B$20=Verbruiksprofielen!$A$115,Verbruiksprofielen!T124,Achtergrondparameters!$B$20=Verbruiksprofielen!$A$136,Verbruiksprofielen!T145,Achtergrondparameters!$B$20=Verbruiksprofielen!$A$157,Verbruiksprofielen!T166)</f>
        <v>2.4E-2</v>
      </c>
      <c r="S41" s="50" cm="1">
        <f t="array" ref="S41">_xlfn.IFS($B$20=Verbruiksprofielen!$A$5,Verbruiksprofielen!U14,Achtergrondparameters!$B$20=Verbruiksprofielen!$A$27,Verbruiksprofielen!U36,Achtergrondparameters!$B$20=Verbruiksprofielen!$A$49,Verbruiksprofielen!U58,Achtergrondparameters!$B$20=Verbruiksprofielen!$A$71,Verbruiksprofielen!U80,Achtergrondparameters!$B$20=Verbruiksprofielen!$A$93,Verbruiksprofielen!U102,Achtergrondparameters!$B$20=Verbruiksprofielen!$A$115,Verbruiksprofielen!U124,Achtergrondparameters!$B$20=Verbruiksprofielen!$A$136,Verbruiksprofielen!U145,Achtergrondparameters!$B$20=Verbruiksprofielen!$A$157,Verbruiksprofielen!U166)</f>
        <v>2.4E-2</v>
      </c>
      <c r="T41" s="50" cm="1">
        <f t="array" ref="T41">_xlfn.IFS($B$20=Verbruiksprofielen!$A$5,Verbruiksprofielen!V14,Achtergrondparameters!$B$20=Verbruiksprofielen!$A$27,Verbruiksprofielen!V36,Achtergrondparameters!$B$20=Verbruiksprofielen!$A$49,Verbruiksprofielen!V58,Achtergrondparameters!$B$20=Verbruiksprofielen!$A$71,Verbruiksprofielen!V80,Achtergrondparameters!$B$20=Verbruiksprofielen!$A$93,Verbruiksprofielen!V102,Achtergrondparameters!$B$20=Verbruiksprofielen!$A$115,Verbruiksprofielen!V124,Achtergrondparameters!$B$20=Verbruiksprofielen!$A$136,Verbruiksprofielen!V145,Achtergrondparameters!$B$20=Verbruiksprofielen!$A$157,Verbruiksprofielen!V166)</f>
        <v>2.4E-2</v>
      </c>
      <c r="U41" s="50" cm="1">
        <f t="array" ref="U41">_xlfn.IFS($B$20=Verbruiksprofielen!$A$5,Verbruiksprofielen!W14,Achtergrondparameters!$B$20=Verbruiksprofielen!$A$27,Verbruiksprofielen!W36,Achtergrondparameters!$B$20=Verbruiksprofielen!$A$49,Verbruiksprofielen!W58,Achtergrondparameters!$B$20=Verbruiksprofielen!$A$71,Verbruiksprofielen!W80,Achtergrondparameters!$B$20=Verbruiksprofielen!$A$93,Verbruiksprofielen!W102,Achtergrondparameters!$B$20=Verbruiksprofielen!$A$115,Verbruiksprofielen!W124,Achtergrondparameters!$B$20=Verbruiksprofielen!$A$136,Verbruiksprofielen!W145,Achtergrondparameters!$B$20=Verbruiksprofielen!$A$157,Verbruiksprofielen!W166)</f>
        <v>2.4E-2</v>
      </c>
      <c r="V41" s="50" cm="1">
        <f t="array" ref="V41">_xlfn.IFS($B$20=Verbruiksprofielen!$A$5,Verbruiksprofielen!X14,Achtergrondparameters!$B$20=Verbruiksprofielen!$A$27,Verbruiksprofielen!X36,Achtergrondparameters!$B$20=Verbruiksprofielen!$A$49,Verbruiksprofielen!X58,Achtergrondparameters!$B$20=Verbruiksprofielen!$A$71,Verbruiksprofielen!X80,Achtergrondparameters!$B$20=Verbruiksprofielen!$A$93,Verbruiksprofielen!X102,Achtergrondparameters!$B$20=Verbruiksprofielen!$A$115,Verbruiksprofielen!X124,Achtergrondparameters!$B$20=Verbruiksprofielen!$A$136,Verbruiksprofielen!X145,Achtergrondparameters!$B$20=Verbruiksprofielen!$A$157,Verbruiksprofielen!X166)</f>
        <v>2.4E-2</v>
      </c>
      <c r="W41" s="50" cm="1">
        <f t="array" ref="W41">_xlfn.IFS($B$20=Verbruiksprofielen!$A$5,Verbruiksprofielen!Y14,Achtergrondparameters!$B$20=Verbruiksprofielen!$A$27,Verbruiksprofielen!Y36,Achtergrondparameters!$B$20=Verbruiksprofielen!$A$49,Verbruiksprofielen!Y58,Achtergrondparameters!$B$20=Verbruiksprofielen!$A$71,Verbruiksprofielen!Y80,Achtergrondparameters!$B$20=Verbruiksprofielen!$A$93,Verbruiksprofielen!Y102,Achtergrondparameters!$B$20=Verbruiksprofielen!$A$115,Verbruiksprofielen!Y124,Achtergrondparameters!$B$20=Verbruiksprofielen!$A$136,Verbruiksprofielen!Y145,Achtergrondparameters!$B$20=Verbruiksprofielen!$A$157,Verbruiksprofielen!Y166)</f>
        <v>2.4E-2</v>
      </c>
      <c r="X41" s="50" cm="1">
        <f t="array" ref="X41">_xlfn.IFS($B$20=Verbruiksprofielen!$A$5,Verbruiksprofielen!Z14,Achtergrondparameters!$B$20=Verbruiksprofielen!$A$27,Verbruiksprofielen!Z36,Achtergrondparameters!$B$20=Verbruiksprofielen!$A$49,Verbruiksprofielen!Z58,Achtergrondparameters!$B$20=Verbruiksprofielen!$A$71,Verbruiksprofielen!Z80,Achtergrondparameters!$B$20=Verbruiksprofielen!$A$93,Verbruiksprofielen!Z102,Achtergrondparameters!$B$20=Verbruiksprofielen!$A$115,Verbruiksprofielen!Z124,Achtergrondparameters!$B$20=Verbruiksprofielen!$A$136,Verbruiksprofielen!Z145,Achtergrondparameters!$B$20=Verbruiksprofielen!$A$157,Verbruiksprofielen!Z166)</f>
        <v>2.4E-2</v>
      </c>
      <c r="Y41" s="50" cm="1">
        <f t="array" ref="Y41">_xlfn.IFS($B$20=Verbruiksprofielen!$A$5,Verbruiksprofielen!AA14,Achtergrondparameters!$B$20=Verbruiksprofielen!$A$27,Verbruiksprofielen!AA36,Achtergrondparameters!$B$20=Verbruiksprofielen!$A$49,Verbruiksprofielen!AA58,Achtergrondparameters!$B$20=Verbruiksprofielen!$A$71,Verbruiksprofielen!AA80,Achtergrondparameters!$B$20=Verbruiksprofielen!$A$93,Verbruiksprofielen!AA102,Achtergrondparameters!$B$20=Verbruiksprofielen!$A$115,Verbruiksprofielen!AA124,Achtergrondparameters!$B$20=Verbruiksprofielen!$A$136,Verbruiksprofielen!AA145,Achtergrondparameters!$B$20=Verbruiksprofielen!$A$157,Verbruiksprofielen!AA166)</f>
        <v>2.4E-2</v>
      </c>
      <c r="Z41" s="50" cm="1">
        <f t="array" ref="Z41">_xlfn.IFS($B$20=Verbruiksprofielen!$A$5,Verbruiksprofielen!AB14,Achtergrondparameters!$B$20=Verbruiksprofielen!$A$27,Verbruiksprofielen!AB36,Achtergrondparameters!$B$20=Verbruiksprofielen!$A$49,Verbruiksprofielen!AB58,Achtergrondparameters!$B$20=Verbruiksprofielen!$A$71,Verbruiksprofielen!AB80,Achtergrondparameters!$B$20=Verbruiksprofielen!$A$93,Verbruiksprofielen!AB102,Achtergrondparameters!$B$20=Verbruiksprofielen!$A$115,Verbruiksprofielen!AB124,Achtergrondparameters!$B$20=Verbruiksprofielen!$A$136,Verbruiksprofielen!AB145,Achtergrondparameters!$B$20=Verbruiksprofielen!$A$157,Verbruiksprofielen!AB166)</f>
        <v>2.4E-2</v>
      </c>
      <c r="AA41" s="50" cm="1">
        <f t="array" ref="AA41">_xlfn.IFS($B$20=Verbruiksprofielen!$A$5,Verbruiksprofielen!AC14,Achtergrondparameters!$B$20=Verbruiksprofielen!$A$27,Verbruiksprofielen!AC36,Achtergrondparameters!$B$20=Verbruiksprofielen!$A$49,Verbruiksprofielen!AC58,Achtergrondparameters!$B$20=Verbruiksprofielen!$A$71,Verbruiksprofielen!AC80,Achtergrondparameters!$B$20=Verbruiksprofielen!$A$93,Verbruiksprofielen!AC102,Achtergrondparameters!$B$20=Verbruiksprofielen!$A$115,Verbruiksprofielen!AC124,Achtergrondparameters!$B$20=Verbruiksprofielen!$A$136,Verbruiksprofielen!AC145,Achtergrondparameters!$B$20=Verbruiksprofielen!$A$157,Verbruiksprofielen!AC166)</f>
        <v>2.4E-2</v>
      </c>
      <c r="AB41" s="50" cm="1">
        <f t="array" ref="AB41">_xlfn.IFS($B$20=Verbruiksprofielen!$A$5,Verbruiksprofielen!AD14,Achtergrondparameters!$B$20=Verbruiksprofielen!$A$27,Verbruiksprofielen!AD36,Achtergrondparameters!$B$20=Verbruiksprofielen!$A$49,Verbruiksprofielen!AD58,Achtergrondparameters!$B$20=Verbruiksprofielen!$A$71,Verbruiksprofielen!AD80,Achtergrondparameters!$B$20=Verbruiksprofielen!$A$93,Verbruiksprofielen!AD102,Achtergrondparameters!$B$20=Verbruiksprofielen!$A$115,Verbruiksprofielen!AD124,Achtergrondparameters!$B$20=Verbruiksprofielen!$A$136,Verbruiksprofielen!AD145,Achtergrondparameters!$B$20=Verbruiksprofielen!$A$157,Verbruiksprofielen!AD166)</f>
        <v>2.4E-2</v>
      </c>
      <c r="AC41" s="50" cm="1">
        <f t="array" ref="AC41">_xlfn.IFS($B$20=Verbruiksprofielen!$A$5,Verbruiksprofielen!AE14,Achtergrondparameters!$B$20=Verbruiksprofielen!$A$27,Verbruiksprofielen!AE36,Achtergrondparameters!$B$20=Verbruiksprofielen!$A$49,Verbruiksprofielen!AE58,Achtergrondparameters!$B$20=Verbruiksprofielen!$A$71,Verbruiksprofielen!AE80,Achtergrondparameters!$B$20=Verbruiksprofielen!$A$93,Verbruiksprofielen!AE102,Achtergrondparameters!$B$20=Verbruiksprofielen!$A$115,Verbruiksprofielen!AE124,Achtergrondparameters!$B$20=Verbruiksprofielen!$A$136,Verbruiksprofielen!AE145,Achtergrondparameters!$B$20=Verbruiksprofielen!$A$157,Verbruiksprofielen!AE166)</f>
        <v>2.4E-2</v>
      </c>
      <c r="AD41" s="50" cm="1">
        <f t="array" ref="AD41">_xlfn.IFS($B$20=Verbruiksprofielen!$A$5,Verbruiksprofielen!AF14,Achtergrondparameters!$B$20=Verbruiksprofielen!$A$27,Verbruiksprofielen!AF36,Achtergrondparameters!$B$20=Verbruiksprofielen!$A$49,Verbruiksprofielen!AF58,Achtergrondparameters!$B$20=Verbruiksprofielen!$A$71,Verbruiksprofielen!AF80,Achtergrondparameters!$B$20=Verbruiksprofielen!$A$93,Verbruiksprofielen!AF102,Achtergrondparameters!$B$20=Verbruiksprofielen!$A$115,Verbruiksprofielen!AF124,Achtergrondparameters!$B$20=Verbruiksprofielen!$A$136,Verbruiksprofielen!AF145,Achtergrondparameters!$B$20=Verbruiksprofielen!$A$157,Verbruiksprofielen!AF166)</f>
        <v>2.4E-2</v>
      </c>
      <c r="AE41" s="50" cm="1">
        <f t="array" ref="AE41">_xlfn.IFS($B$20=Verbruiksprofielen!$A$5,Verbruiksprofielen!AG14,Achtergrondparameters!$B$20=Verbruiksprofielen!$A$27,Verbruiksprofielen!AG36,Achtergrondparameters!$B$20=Verbruiksprofielen!$A$49,Verbruiksprofielen!AG58,Achtergrondparameters!$B$20=Verbruiksprofielen!$A$71,Verbruiksprofielen!AG80,Achtergrondparameters!$B$20=Verbruiksprofielen!$A$93,Verbruiksprofielen!AG102,Achtergrondparameters!$B$20=Verbruiksprofielen!$A$115,Verbruiksprofielen!AG124,Achtergrondparameters!$B$20=Verbruiksprofielen!$A$136,Verbruiksprofielen!AG145,Achtergrondparameters!$B$20=Verbruiksprofielen!$A$157,Verbruiksprofielen!AG166)</f>
        <v>2.4E-2</v>
      </c>
      <c r="AF41" s="50" cm="1">
        <f t="array" ref="AF41">_xlfn.IFS($B$20=Verbruiksprofielen!$A$5,Verbruiksprofielen!AH14,Achtergrondparameters!$B$20=Verbruiksprofielen!$A$27,Verbruiksprofielen!AH36,Achtergrondparameters!$B$20=Verbruiksprofielen!$A$49,Verbruiksprofielen!AH58,Achtergrondparameters!$B$20=Verbruiksprofielen!$A$71,Verbruiksprofielen!AH80,Achtergrondparameters!$B$20=Verbruiksprofielen!$A$93,Verbruiksprofielen!AH102,Achtergrondparameters!$B$20=Verbruiksprofielen!$A$115,Verbruiksprofielen!AH124,Achtergrondparameters!$B$20=Verbruiksprofielen!$A$136,Verbruiksprofielen!AH145,Achtergrondparameters!$B$20=Verbruiksprofielen!$A$157,Verbruiksprofielen!AH166)</f>
        <v>2.4E-2</v>
      </c>
    </row>
    <row r="42" spans="1:33" ht="14.25" customHeight="1" x14ac:dyDescent="0.2">
      <c r="A42" s="18" t="s">
        <v>166</v>
      </c>
      <c r="B42" s="33" t="s">
        <v>90</v>
      </c>
      <c r="C42" s="28">
        <f>15/1000</f>
        <v>1.4999999999999999E-2</v>
      </c>
      <c r="D42" s="28">
        <f>C42*(1+Referentieparameters!$B$8)</f>
        <v>1.5299999999999999E-2</v>
      </c>
      <c r="E42" s="28">
        <f>D42*(1+Referentieparameters!$B$8)</f>
        <v>1.5606E-2</v>
      </c>
      <c r="F42" s="28">
        <f>E42*(1+Referentieparameters!$B$8)</f>
        <v>1.5918120000000001E-2</v>
      </c>
      <c r="G42" s="28">
        <f>F42*(1+Referentieparameters!$B$8)</f>
        <v>1.6236482400000002E-2</v>
      </c>
      <c r="H42" s="28">
        <f>G42*(1+Referentieparameters!$B$8)</f>
        <v>1.6561212048000002E-2</v>
      </c>
      <c r="I42" s="28">
        <f>H42*(1+Referentieparameters!$B$8)</f>
        <v>1.6892436288960002E-2</v>
      </c>
      <c r="J42" s="28">
        <f>I42*(1+Referentieparameters!$B$8)</f>
        <v>1.7230285014739201E-2</v>
      </c>
      <c r="K42" s="28">
        <f>J42*(1+Referentieparameters!$B$8)</f>
        <v>1.7574890715033986E-2</v>
      </c>
      <c r="L42" s="28">
        <f>K42*(1+Referentieparameters!$B$8)</f>
        <v>1.7926388529334668E-2</v>
      </c>
      <c r="M42" s="28">
        <f>L42*(1+Referentieparameters!$B$8)</f>
        <v>1.828491629992136E-2</v>
      </c>
      <c r="N42" s="28">
        <f>M42*(1+Referentieparameters!$B$8)</f>
        <v>1.8650614625919788E-2</v>
      </c>
      <c r="O42" s="28">
        <f>N42*(1+Referentieparameters!$B$8)</f>
        <v>1.9023626918438185E-2</v>
      </c>
      <c r="P42" s="28">
        <f>O42*(1+Referentieparameters!$B$8)</f>
        <v>1.9404099456806947E-2</v>
      </c>
      <c r="Q42" s="28">
        <f>P42*(1+Referentieparameters!$B$8)</f>
        <v>1.9792181445943087E-2</v>
      </c>
      <c r="R42" s="28">
        <f>Q42*(1+Referentieparameters!$B$8)</f>
        <v>2.0188025074861948E-2</v>
      </c>
      <c r="S42" s="28">
        <f>R42*(1+Referentieparameters!$B$8)</f>
        <v>2.0591785576359187E-2</v>
      </c>
      <c r="T42" s="28">
        <f>S42*(1+Referentieparameters!$B$8)</f>
        <v>2.1003621287886371E-2</v>
      </c>
      <c r="U42" s="28">
        <f>T42*(1+Referentieparameters!$B$8)</f>
        <v>2.1423693713644099E-2</v>
      </c>
      <c r="V42" s="28">
        <f>U42*(1+Referentieparameters!$B$8)</f>
        <v>2.1852167587916981E-2</v>
      </c>
      <c r="W42" s="28">
        <f>V42*(1+Referentieparameters!$B$8)</f>
        <v>2.228921093967532E-2</v>
      </c>
      <c r="X42" s="28">
        <f>W42*(1+Referentieparameters!$B$8)</f>
        <v>2.2734995158468826E-2</v>
      </c>
      <c r="Y42" s="28">
        <f>X42*(1+Referentieparameters!$B$8)</f>
        <v>2.3189695061638201E-2</v>
      </c>
      <c r="Z42" s="28">
        <f>Y42*(1+Referentieparameters!$B$8)</f>
        <v>2.3653488962870967E-2</v>
      </c>
      <c r="AA42" s="28">
        <f>Z42*(1+Referentieparameters!$B$8)</f>
        <v>2.4126558742128386E-2</v>
      </c>
      <c r="AB42" s="28">
        <f>AA42*(1+Referentieparameters!$B$8)</f>
        <v>2.4609089916970955E-2</v>
      </c>
      <c r="AC42" s="28">
        <f>AB42*(1+Referentieparameters!$B$8)</f>
        <v>2.5101271715310375E-2</v>
      </c>
      <c r="AD42" s="28">
        <f>AC42*(1+Referentieparameters!$B$8)</f>
        <v>2.5603297149616584E-2</v>
      </c>
      <c r="AE42" s="28">
        <f>AD42*(1+Referentieparameters!$B$8)</f>
        <v>2.6115363092608916E-2</v>
      </c>
      <c r="AF42" s="28">
        <f>AE42*(1+Referentieparameters!$B$8)</f>
        <v>2.6637670354461095E-2</v>
      </c>
    </row>
    <row r="43" spans="1:33" ht="14.25" customHeight="1" x14ac:dyDescent="0.4">
      <c r="A43" s="236" t="str">
        <f t="shared" ref="A43" si="0">IF($B$20="MANUAL","ETS1/2-prijs","ETS2-prijs")</f>
        <v>ETS2-prijs</v>
      </c>
      <c r="B43" s="223" t="s">
        <v>167</v>
      </c>
      <c r="C43" s="35" cm="1">
        <f t="array" ref="C43">_xlfn.IFS($B$20=Verbruiksprofielen!$A$5,Verbruiksprofielen!E15,Achtergrondparameters!$B$20=Verbruiksprofielen!$A$27,Verbruiksprofielen!E37,Achtergrondparameters!$B$20=Verbruiksprofielen!$A$49,Verbruiksprofielen!E59,Achtergrondparameters!$B$20=Verbruiksprofielen!$A$71,Verbruiksprofielen!E81,Achtergrondparameters!$B$20=Verbruiksprofielen!$A$93,Verbruiksprofielen!E103,Achtergrondparameters!$B$20=Verbruiksprofielen!$A$115,Verbruiksprofielen!E125,Achtergrondparameters!$B$20=Verbruiksprofielen!$A$136,Verbruiksprofielen!E146,Achtergrondparameters!$B$20=Verbruiksprofielen!$A$157,Verbruiksprofielen!E167)</f>
        <v>0</v>
      </c>
      <c r="D43" s="35" cm="1">
        <f t="array" ref="D43">_xlfn.IFS($B$20=Verbruiksprofielen!$A$5,Verbruiksprofielen!F15,Achtergrondparameters!$B$20=Verbruiksprofielen!$A$27,Verbruiksprofielen!F37,Achtergrondparameters!$B$20=Verbruiksprofielen!$A$49,Verbruiksprofielen!F59,Achtergrondparameters!$B$20=Verbruiksprofielen!$A$71,Verbruiksprofielen!F81,Achtergrondparameters!$B$20=Verbruiksprofielen!$A$93,Verbruiksprofielen!F103,Achtergrondparameters!$B$20=Verbruiksprofielen!$A$115,Verbruiksprofielen!F125,Achtergrondparameters!$B$20=Verbruiksprofielen!$A$136,Verbruiksprofielen!F146,Achtergrondparameters!$B$20=Verbruiksprofielen!$A$157,Verbruiksprofielen!F167)</f>
        <v>0</v>
      </c>
      <c r="E43" s="35" cm="1">
        <f t="array" ref="E43">_xlfn.IFS($B$20=Verbruiksprofielen!$A$5,Verbruiksprofielen!G15,Achtergrondparameters!$B$20=Verbruiksprofielen!$A$27,Verbruiksprofielen!G37,Achtergrondparameters!$B$20=Verbruiksprofielen!$A$49,Verbruiksprofielen!G59,Achtergrondparameters!$B$20=Verbruiksprofielen!$A$71,Verbruiksprofielen!G81,Achtergrondparameters!$B$20=Verbruiksprofielen!$A$93,Verbruiksprofielen!G103,Achtergrondparameters!$B$20=Verbruiksprofielen!$A$115,Verbruiksprofielen!G125,Achtergrondparameters!$B$20=Verbruiksprofielen!$A$136,Verbruiksprofielen!G146,Achtergrondparameters!$B$20=Verbruiksprofielen!$A$157,Verbruiksprofielen!G167)</f>
        <v>0</v>
      </c>
      <c r="F43" s="35" cm="1">
        <f t="array" ref="F43">_xlfn.IFS($B$20=Verbruiksprofielen!$A$5,Verbruiksprofielen!H15,Achtergrondparameters!$B$20=Verbruiksprofielen!$A$27,Verbruiksprofielen!H37,Achtergrondparameters!$B$20=Verbruiksprofielen!$A$49,Verbruiksprofielen!H59,Achtergrondparameters!$B$20=Verbruiksprofielen!$A$71,Verbruiksprofielen!H81,Achtergrondparameters!$B$20=Verbruiksprofielen!$A$93,Verbruiksprofielen!H103,Achtergrondparameters!$B$20=Verbruiksprofielen!$A$115,Verbruiksprofielen!H125,Achtergrondparameters!$B$20=Verbruiksprofielen!$A$136,Verbruiksprofielen!H146,Achtergrondparameters!$B$20=Verbruiksprofielen!$A$157,Verbruiksprofielen!H167)</f>
        <v>8.0000000000008953E-3</v>
      </c>
      <c r="G43" s="35" cm="1">
        <f t="array" ref="G43">_xlfn.IFS($B$20=Verbruiksprofielen!$A$5,Verbruiksprofielen!I15,Achtergrondparameters!$B$20=Verbruiksprofielen!$A$27,Verbruiksprofielen!I37,Achtergrondparameters!$B$20=Verbruiksprofielen!$A$49,Verbruiksprofielen!I59,Achtergrondparameters!$B$20=Verbruiksprofielen!$A$71,Verbruiksprofielen!I81,Achtergrondparameters!$B$20=Verbruiksprofielen!$A$93,Verbruiksprofielen!I103,Achtergrondparameters!$B$20=Verbruiksprofielen!$A$115,Verbruiksprofielen!I125,Achtergrondparameters!$B$20=Verbruiksprofielen!$A$136,Verbruiksprofielen!I146,Achtergrondparameters!$B$20=Verbruiksprofielen!$A$157,Verbruiksprofielen!I167)</f>
        <v>1.3999999999999346E-2</v>
      </c>
      <c r="H43" s="35" cm="1">
        <f t="array" ref="H43">_xlfn.IFS($B$20=Verbruiksprofielen!$A$5,Verbruiksprofielen!J15,Achtergrondparameters!$B$20=Verbruiksprofielen!$A$27,Verbruiksprofielen!J37,Achtergrondparameters!$B$20=Verbruiksprofielen!$A$49,Verbruiksprofielen!J59,Achtergrondparameters!$B$20=Verbruiksprofielen!$A$71,Verbruiksprofielen!J81,Achtergrondparameters!$B$20=Verbruiksprofielen!$A$93,Verbruiksprofielen!J103,Achtergrondparameters!$B$20=Verbruiksprofielen!$A$115,Verbruiksprofielen!J125,Achtergrondparameters!$B$20=Verbruiksprofielen!$A$136,Verbruiksprofielen!J146,Achtergrondparameters!$B$20=Verbruiksprofielen!$A$157,Verbruiksprofielen!J167)</f>
        <v>0.02</v>
      </c>
      <c r="I43" s="35" cm="1">
        <f t="array" ref="I43">_xlfn.IFS($B$20=Verbruiksprofielen!$A$5,Verbruiksprofielen!K15,Achtergrondparameters!$B$20=Verbruiksprofielen!$A$27,Verbruiksprofielen!K37,Achtergrondparameters!$B$20=Verbruiksprofielen!$A$49,Verbruiksprofielen!K59,Achtergrondparameters!$B$20=Verbruiksprofielen!$A$71,Verbruiksprofielen!K81,Achtergrondparameters!$B$20=Verbruiksprofielen!$A$93,Verbruiksprofielen!K103,Achtergrondparameters!$B$20=Verbruiksprofielen!$A$115,Verbruiksprofielen!K125,Achtergrondparameters!$B$20=Verbruiksprofielen!$A$136,Verbruiksprofielen!K146,Achtergrondparameters!$B$20=Verbruiksprofielen!$A$157,Verbruiksprofielen!K167)</f>
        <v>2.3999999999999133E-2</v>
      </c>
      <c r="J43" s="35" cm="1">
        <f t="array" ref="J43">_xlfn.IFS($B$20=Verbruiksprofielen!$A$5,Verbruiksprofielen!L15,Achtergrondparameters!$B$20=Verbruiksprofielen!$A$27,Verbruiksprofielen!L37,Achtergrondparameters!$B$20=Verbruiksprofielen!$A$49,Verbruiksprofielen!L59,Achtergrondparameters!$B$20=Verbruiksprofielen!$A$71,Verbruiksprofielen!L81,Achtergrondparameters!$B$20=Verbruiksprofielen!$A$93,Verbruiksprofielen!L103,Achtergrondparameters!$B$20=Verbruiksprofielen!$A$115,Verbruiksprofielen!L125,Achtergrondparameters!$B$20=Verbruiksprofielen!$A$136,Verbruiksprofielen!L146,Achtergrondparameters!$B$20=Verbruiksprofielen!$A$157,Verbruiksprofielen!L167)</f>
        <v>2.7999999999998693E-2</v>
      </c>
      <c r="K43" s="35" cm="1">
        <f t="array" ref="K43">_xlfn.IFS($B$20=Verbruiksprofielen!$A$5,Verbruiksprofielen!M15,Achtergrondparameters!$B$20=Verbruiksprofielen!$A$27,Verbruiksprofielen!M37,Achtergrondparameters!$B$20=Verbruiksprofielen!$A$49,Verbruiksprofielen!M59,Achtergrondparameters!$B$20=Verbruiksprofielen!$A$71,Verbruiksprofielen!M81,Achtergrondparameters!$B$20=Verbruiksprofielen!$A$93,Verbruiksprofielen!M103,Achtergrondparameters!$B$20=Verbruiksprofielen!$A$115,Verbruiksprofielen!M125,Achtergrondparameters!$B$20=Verbruiksprofielen!$A$136,Verbruiksprofielen!M146,Achtergrondparameters!$B$20=Verbruiksprofielen!$A$157,Verbruiksprofielen!M167)</f>
        <v>3.1999999999998252E-2</v>
      </c>
      <c r="L43" s="35" cm="1">
        <f t="array" ref="L43">_xlfn.IFS($B$20=Verbruiksprofielen!$A$5,Verbruiksprofielen!N15,Achtergrondparameters!$B$20=Verbruiksprofielen!$A$27,Verbruiksprofielen!N37,Achtergrondparameters!$B$20=Verbruiksprofielen!$A$49,Verbruiksprofielen!N59,Achtergrondparameters!$B$20=Verbruiksprofielen!$A$71,Verbruiksprofielen!N81,Achtergrondparameters!$B$20=Verbruiksprofielen!$A$93,Verbruiksprofielen!N103,Achtergrondparameters!$B$20=Verbruiksprofielen!$A$115,Verbruiksprofielen!N125,Achtergrondparameters!$B$20=Verbruiksprofielen!$A$136,Verbruiksprofielen!N146,Achtergrondparameters!$B$20=Verbruiksprofielen!$A$157,Verbruiksprofielen!N167)</f>
        <v>3.5999999999999588E-2</v>
      </c>
      <c r="M43" s="35" cm="1">
        <f t="array" ref="M43">_xlfn.IFS($B$20=Verbruiksprofielen!$A$5,Verbruiksprofielen!O15,Achtergrondparameters!$B$20=Verbruiksprofielen!$A$27,Verbruiksprofielen!O37,Achtergrondparameters!$B$20=Verbruiksprofielen!$A$49,Verbruiksprofielen!O59,Achtergrondparameters!$B$20=Verbruiksprofielen!$A$71,Verbruiksprofielen!O81,Achtergrondparameters!$B$20=Verbruiksprofielen!$A$93,Verbruiksprofielen!O103,Achtergrondparameters!$B$20=Verbruiksprofielen!$A$115,Verbruiksprofielen!O125,Achtergrondparameters!$B$20=Verbruiksprofielen!$A$136,Verbruiksprofielen!O146,Achtergrondparameters!$B$20=Verbruiksprofielen!$A$157,Verbruiksprofielen!O167)</f>
        <v>0.04</v>
      </c>
      <c r="N43" s="35" cm="1">
        <f t="array" ref="N43">_xlfn.IFS($B$20=Verbruiksprofielen!$A$5,Verbruiksprofielen!P15,Achtergrondparameters!$B$20=Verbruiksprofielen!$A$27,Verbruiksprofielen!P37,Achtergrondparameters!$B$20=Verbruiksprofielen!$A$49,Verbruiksprofielen!P59,Achtergrondparameters!$B$20=Verbruiksprofielen!$A$71,Verbruiksprofielen!P81,Achtergrondparameters!$B$20=Verbruiksprofielen!$A$93,Verbruiksprofielen!P103,Achtergrondparameters!$B$20=Verbruiksprofielen!$A$115,Verbruiksprofielen!P125,Achtergrondparameters!$B$20=Verbruiksprofielen!$A$136,Verbruiksprofielen!P146,Achtergrondparameters!$B$20=Verbruiksprofielen!$A$157,Verbruiksprofielen!P167)</f>
        <v>4.4000000000000483E-2</v>
      </c>
      <c r="O43" s="35" cm="1">
        <f t="array" ref="O43">_xlfn.IFS($B$20=Verbruiksprofielen!$A$5,Verbruiksprofielen!Q15,Achtergrondparameters!$B$20=Verbruiksprofielen!$A$27,Verbruiksprofielen!Q37,Achtergrondparameters!$B$20=Verbruiksprofielen!$A$49,Verbruiksprofielen!Q59,Achtergrondparameters!$B$20=Verbruiksprofielen!$A$71,Verbruiksprofielen!Q81,Achtergrondparameters!$B$20=Verbruiksprofielen!$A$93,Verbruiksprofielen!Q103,Achtergrondparameters!$B$20=Verbruiksprofielen!$A$115,Verbruiksprofielen!Q125,Achtergrondparameters!$B$20=Verbruiksprofielen!$A$136,Verbruiksprofielen!Q146,Achtergrondparameters!$B$20=Verbruiksprofielen!$A$157,Verbruiksprofielen!Q167)</f>
        <v>4.8000000000000043E-2</v>
      </c>
      <c r="P43" s="35" cm="1">
        <f t="array" ref="P43">_xlfn.IFS($B$20=Verbruiksprofielen!$A$5,Verbruiksprofielen!R15,Achtergrondparameters!$B$20=Verbruiksprofielen!$A$27,Verbruiksprofielen!R37,Achtergrondparameters!$B$20=Verbruiksprofielen!$A$49,Verbruiksprofielen!R59,Achtergrondparameters!$B$20=Verbruiksprofielen!$A$71,Verbruiksprofielen!R81,Achtergrondparameters!$B$20=Verbruiksprofielen!$A$93,Verbruiksprofielen!R103,Achtergrondparameters!$B$20=Verbruiksprofielen!$A$115,Verbruiksprofielen!R125,Achtergrondparameters!$B$20=Verbruiksprofielen!$A$136,Verbruiksprofielen!R146,Achtergrondparameters!$B$20=Verbruiksprofielen!$A$157,Verbruiksprofielen!R167)</f>
        <v>5.2000000000001378E-2</v>
      </c>
      <c r="Q43" s="35" cm="1">
        <f t="array" ref="Q43">_xlfn.IFS($B$20=Verbruiksprofielen!$A$5,Verbruiksprofielen!S15,Achtergrondparameters!$B$20=Verbruiksprofielen!$A$27,Verbruiksprofielen!S37,Achtergrondparameters!$B$20=Verbruiksprofielen!$A$49,Verbruiksprofielen!S59,Achtergrondparameters!$B$20=Verbruiksprofielen!$A$71,Verbruiksprofielen!S81,Achtergrondparameters!$B$20=Verbruiksprofielen!$A$93,Verbruiksprofielen!S103,Achtergrondparameters!$B$20=Verbruiksprofielen!$A$115,Verbruiksprofielen!S125,Achtergrondparameters!$B$20=Verbruiksprofielen!$A$136,Verbruiksprofielen!S146,Achtergrondparameters!$B$20=Verbruiksprofielen!$A$157,Verbruiksprofielen!S167)</f>
        <v>5.6000000000000938E-2</v>
      </c>
      <c r="R43" s="35" cm="1">
        <f t="array" ref="R43">_xlfn.IFS($B$20=Verbruiksprofielen!$A$5,Verbruiksprofielen!T15,Achtergrondparameters!$B$20=Verbruiksprofielen!$A$27,Verbruiksprofielen!T37,Achtergrondparameters!$B$20=Verbruiksprofielen!$A$49,Verbruiksprofielen!T59,Achtergrondparameters!$B$20=Verbruiksprofielen!$A$71,Verbruiksprofielen!T81,Achtergrondparameters!$B$20=Verbruiksprofielen!$A$93,Verbruiksprofielen!T103,Achtergrondparameters!$B$20=Verbruiksprofielen!$A$115,Verbruiksprofielen!T125,Achtergrondparameters!$B$20=Verbruiksprofielen!$A$136,Verbruiksprofielen!T146,Achtergrondparameters!$B$20=Verbruiksprofielen!$A$157,Verbruiksprofielen!T167)</f>
        <v>0.06</v>
      </c>
      <c r="S43" s="35" cm="1">
        <f t="array" ref="S43">_xlfn.IFS($B$20=Verbruiksprofielen!$A$5,Verbruiksprofielen!U15,Achtergrondparameters!$B$20=Verbruiksprofielen!$A$27,Verbruiksprofielen!U37,Achtergrondparameters!$B$20=Verbruiksprofielen!$A$49,Verbruiksprofielen!U59,Achtergrondparameters!$B$20=Verbruiksprofielen!$A$71,Verbruiksprofielen!U81,Achtergrondparameters!$B$20=Verbruiksprofielen!$A$93,Verbruiksprofielen!U103,Achtergrondparameters!$B$20=Verbruiksprofielen!$A$115,Verbruiksprofielen!U125,Achtergrondparameters!$B$20=Verbruiksprofielen!$A$136,Verbruiksprofielen!U146,Achtergrondparameters!$B$20=Verbruiksprofielen!$A$157,Verbruiksprofielen!U167)</f>
        <v>0.06</v>
      </c>
      <c r="T43" s="35" cm="1">
        <f t="array" ref="T43">_xlfn.IFS($B$20=Verbruiksprofielen!$A$5,Verbruiksprofielen!V15,Achtergrondparameters!$B$20=Verbruiksprofielen!$A$27,Verbruiksprofielen!V37,Achtergrondparameters!$B$20=Verbruiksprofielen!$A$49,Verbruiksprofielen!V59,Achtergrondparameters!$B$20=Verbruiksprofielen!$A$71,Verbruiksprofielen!V81,Achtergrondparameters!$B$20=Verbruiksprofielen!$A$93,Verbruiksprofielen!V103,Achtergrondparameters!$B$20=Verbruiksprofielen!$A$115,Verbruiksprofielen!V125,Achtergrondparameters!$B$20=Verbruiksprofielen!$A$136,Verbruiksprofielen!V146,Achtergrondparameters!$B$20=Verbruiksprofielen!$A$157,Verbruiksprofielen!V167)</f>
        <v>0.06</v>
      </c>
      <c r="U43" s="35" cm="1">
        <f t="array" ref="U43">_xlfn.IFS($B$20=Verbruiksprofielen!$A$5,Verbruiksprofielen!W15,Achtergrondparameters!$B$20=Verbruiksprofielen!$A$27,Verbruiksprofielen!W37,Achtergrondparameters!$B$20=Verbruiksprofielen!$A$49,Verbruiksprofielen!W59,Achtergrondparameters!$B$20=Verbruiksprofielen!$A$71,Verbruiksprofielen!W81,Achtergrondparameters!$B$20=Verbruiksprofielen!$A$93,Verbruiksprofielen!W103,Achtergrondparameters!$B$20=Verbruiksprofielen!$A$115,Verbruiksprofielen!W125,Achtergrondparameters!$B$20=Verbruiksprofielen!$A$136,Verbruiksprofielen!W146,Achtergrondparameters!$B$20=Verbruiksprofielen!$A$157,Verbruiksprofielen!W167)</f>
        <v>0.06</v>
      </c>
      <c r="V43" s="35" cm="1">
        <f t="array" ref="V43">_xlfn.IFS($B$20=Verbruiksprofielen!$A$5,Verbruiksprofielen!X15,Achtergrondparameters!$B$20=Verbruiksprofielen!$A$27,Verbruiksprofielen!X37,Achtergrondparameters!$B$20=Verbruiksprofielen!$A$49,Verbruiksprofielen!X59,Achtergrondparameters!$B$20=Verbruiksprofielen!$A$71,Verbruiksprofielen!X81,Achtergrondparameters!$B$20=Verbruiksprofielen!$A$93,Verbruiksprofielen!X103,Achtergrondparameters!$B$20=Verbruiksprofielen!$A$115,Verbruiksprofielen!X125,Achtergrondparameters!$B$20=Verbruiksprofielen!$A$136,Verbruiksprofielen!X146,Achtergrondparameters!$B$20=Verbruiksprofielen!$A$157,Verbruiksprofielen!X167)</f>
        <v>0.06</v>
      </c>
      <c r="W43" s="35" cm="1">
        <f t="array" ref="W43">_xlfn.IFS($B$20=Verbruiksprofielen!$A$5,Verbruiksprofielen!Y15,Achtergrondparameters!$B$20=Verbruiksprofielen!$A$27,Verbruiksprofielen!Y37,Achtergrondparameters!$B$20=Verbruiksprofielen!$A$49,Verbruiksprofielen!Y59,Achtergrondparameters!$B$20=Verbruiksprofielen!$A$71,Verbruiksprofielen!Y81,Achtergrondparameters!$B$20=Verbruiksprofielen!$A$93,Verbruiksprofielen!Y103,Achtergrondparameters!$B$20=Verbruiksprofielen!$A$115,Verbruiksprofielen!Y125,Achtergrondparameters!$B$20=Verbruiksprofielen!$A$136,Verbruiksprofielen!Y146,Achtergrondparameters!$B$20=Verbruiksprofielen!$A$157,Verbruiksprofielen!Y167)</f>
        <v>0.06</v>
      </c>
      <c r="X43" s="35" cm="1">
        <f t="array" ref="X43">_xlfn.IFS($B$20=Verbruiksprofielen!$A$5,Verbruiksprofielen!Z15,Achtergrondparameters!$B$20=Verbruiksprofielen!$A$27,Verbruiksprofielen!Z37,Achtergrondparameters!$B$20=Verbruiksprofielen!$A$49,Verbruiksprofielen!Z59,Achtergrondparameters!$B$20=Verbruiksprofielen!$A$71,Verbruiksprofielen!Z81,Achtergrondparameters!$B$20=Verbruiksprofielen!$A$93,Verbruiksprofielen!Z103,Achtergrondparameters!$B$20=Verbruiksprofielen!$A$115,Verbruiksprofielen!Z125,Achtergrondparameters!$B$20=Verbruiksprofielen!$A$136,Verbruiksprofielen!Z146,Achtergrondparameters!$B$20=Verbruiksprofielen!$A$157,Verbruiksprofielen!Z167)</f>
        <v>0.06</v>
      </c>
      <c r="Y43" s="35" cm="1">
        <f t="array" ref="Y43">_xlfn.IFS($B$20=Verbruiksprofielen!$A$5,Verbruiksprofielen!AA15,Achtergrondparameters!$B$20=Verbruiksprofielen!$A$27,Verbruiksprofielen!AA37,Achtergrondparameters!$B$20=Verbruiksprofielen!$A$49,Verbruiksprofielen!AA59,Achtergrondparameters!$B$20=Verbruiksprofielen!$A$71,Verbruiksprofielen!AA81,Achtergrondparameters!$B$20=Verbruiksprofielen!$A$93,Verbruiksprofielen!AA103,Achtergrondparameters!$B$20=Verbruiksprofielen!$A$115,Verbruiksprofielen!AA125,Achtergrondparameters!$B$20=Verbruiksprofielen!$A$136,Verbruiksprofielen!AA146,Achtergrondparameters!$B$20=Verbruiksprofielen!$A$157,Verbruiksprofielen!AA167)</f>
        <v>0.06</v>
      </c>
      <c r="Z43" s="35" cm="1">
        <f t="array" ref="Z43">_xlfn.IFS($B$20=Verbruiksprofielen!$A$5,Verbruiksprofielen!AB15,Achtergrondparameters!$B$20=Verbruiksprofielen!$A$27,Verbruiksprofielen!AB37,Achtergrondparameters!$B$20=Verbruiksprofielen!$A$49,Verbruiksprofielen!AB59,Achtergrondparameters!$B$20=Verbruiksprofielen!$A$71,Verbruiksprofielen!AB81,Achtergrondparameters!$B$20=Verbruiksprofielen!$A$93,Verbruiksprofielen!AB103,Achtergrondparameters!$B$20=Verbruiksprofielen!$A$115,Verbruiksprofielen!AB125,Achtergrondparameters!$B$20=Verbruiksprofielen!$A$136,Verbruiksprofielen!AB146,Achtergrondparameters!$B$20=Verbruiksprofielen!$A$157,Verbruiksprofielen!AB167)</f>
        <v>0.06</v>
      </c>
      <c r="AA43" s="35" cm="1">
        <f t="array" ref="AA43">_xlfn.IFS($B$20=Verbruiksprofielen!$A$5,Verbruiksprofielen!AC15,Achtergrondparameters!$B$20=Verbruiksprofielen!$A$27,Verbruiksprofielen!AC37,Achtergrondparameters!$B$20=Verbruiksprofielen!$A$49,Verbruiksprofielen!AC59,Achtergrondparameters!$B$20=Verbruiksprofielen!$A$71,Verbruiksprofielen!AC81,Achtergrondparameters!$B$20=Verbruiksprofielen!$A$93,Verbruiksprofielen!AC103,Achtergrondparameters!$B$20=Verbruiksprofielen!$A$115,Verbruiksprofielen!AC125,Achtergrondparameters!$B$20=Verbruiksprofielen!$A$136,Verbruiksprofielen!AC146,Achtergrondparameters!$B$20=Verbruiksprofielen!$A$157,Verbruiksprofielen!AC167)</f>
        <v>0.06</v>
      </c>
      <c r="AB43" s="35" cm="1">
        <f t="array" ref="AB43">_xlfn.IFS($B$20=Verbruiksprofielen!$A$5,Verbruiksprofielen!AD15,Achtergrondparameters!$B$20=Verbruiksprofielen!$A$27,Verbruiksprofielen!AD37,Achtergrondparameters!$B$20=Verbruiksprofielen!$A$49,Verbruiksprofielen!AD59,Achtergrondparameters!$B$20=Verbruiksprofielen!$A$71,Verbruiksprofielen!AD81,Achtergrondparameters!$B$20=Verbruiksprofielen!$A$93,Verbruiksprofielen!AD103,Achtergrondparameters!$B$20=Verbruiksprofielen!$A$115,Verbruiksprofielen!AD125,Achtergrondparameters!$B$20=Verbruiksprofielen!$A$136,Verbruiksprofielen!AD146,Achtergrondparameters!$B$20=Verbruiksprofielen!$A$157,Verbruiksprofielen!AD167)</f>
        <v>0.06</v>
      </c>
      <c r="AC43" s="35" cm="1">
        <f t="array" ref="AC43">_xlfn.IFS($B$20=Verbruiksprofielen!$A$5,Verbruiksprofielen!AE15,Achtergrondparameters!$B$20=Verbruiksprofielen!$A$27,Verbruiksprofielen!AE37,Achtergrondparameters!$B$20=Verbruiksprofielen!$A$49,Verbruiksprofielen!AE59,Achtergrondparameters!$B$20=Verbruiksprofielen!$A$71,Verbruiksprofielen!AE81,Achtergrondparameters!$B$20=Verbruiksprofielen!$A$93,Verbruiksprofielen!AE103,Achtergrondparameters!$B$20=Verbruiksprofielen!$A$115,Verbruiksprofielen!AE125,Achtergrondparameters!$B$20=Verbruiksprofielen!$A$136,Verbruiksprofielen!AE146,Achtergrondparameters!$B$20=Verbruiksprofielen!$A$157,Verbruiksprofielen!AE167)</f>
        <v>0.06</v>
      </c>
      <c r="AD43" s="35" cm="1">
        <f t="array" ref="AD43">_xlfn.IFS($B$20=Verbruiksprofielen!$A$5,Verbruiksprofielen!AF15,Achtergrondparameters!$B$20=Verbruiksprofielen!$A$27,Verbruiksprofielen!AF37,Achtergrondparameters!$B$20=Verbruiksprofielen!$A$49,Verbruiksprofielen!AF59,Achtergrondparameters!$B$20=Verbruiksprofielen!$A$71,Verbruiksprofielen!AF81,Achtergrondparameters!$B$20=Verbruiksprofielen!$A$93,Verbruiksprofielen!AF103,Achtergrondparameters!$B$20=Verbruiksprofielen!$A$115,Verbruiksprofielen!AF125,Achtergrondparameters!$B$20=Verbruiksprofielen!$A$136,Verbruiksprofielen!AF146,Achtergrondparameters!$B$20=Verbruiksprofielen!$A$157,Verbruiksprofielen!AF167)</f>
        <v>0.06</v>
      </c>
      <c r="AE43" s="35" cm="1">
        <f t="array" ref="AE43">_xlfn.IFS($B$20=Verbruiksprofielen!$A$5,Verbruiksprofielen!AG15,Achtergrondparameters!$B$20=Verbruiksprofielen!$A$27,Verbruiksprofielen!AG37,Achtergrondparameters!$B$20=Verbruiksprofielen!$A$49,Verbruiksprofielen!AG59,Achtergrondparameters!$B$20=Verbruiksprofielen!$A$71,Verbruiksprofielen!AG81,Achtergrondparameters!$B$20=Verbruiksprofielen!$A$93,Verbruiksprofielen!AG103,Achtergrondparameters!$B$20=Verbruiksprofielen!$A$115,Verbruiksprofielen!AG125,Achtergrondparameters!$B$20=Verbruiksprofielen!$A$136,Verbruiksprofielen!AG146,Achtergrondparameters!$B$20=Verbruiksprofielen!$A$157,Verbruiksprofielen!AG167)</f>
        <v>0.06</v>
      </c>
      <c r="AF43" s="35" cm="1">
        <f t="array" ref="AF43">_xlfn.IFS($B$20=Verbruiksprofielen!$A$5,Verbruiksprofielen!AH15,Achtergrondparameters!$B$20=Verbruiksprofielen!$A$27,Verbruiksprofielen!AH37,Achtergrondparameters!$B$20=Verbruiksprofielen!$A$49,Verbruiksprofielen!AH59,Achtergrondparameters!$B$20=Verbruiksprofielen!$A$71,Verbruiksprofielen!AH81,Achtergrondparameters!$B$20=Verbruiksprofielen!$A$93,Verbruiksprofielen!AH103,Achtergrondparameters!$B$20=Verbruiksprofielen!$A$115,Verbruiksprofielen!AH125,Achtergrondparameters!$B$20=Verbruiksprofielen!$A$136,Verbruiksprofielen!AH146,Achtergrondparameters!$B$20=Verbruiksprofielen!$A$157,Verbruiksprofielen!AH167)</f>
        <v>0.06</v>
      </c>
    </row>
    <row r="44" spans="1:33" ht="14.25" customHeight="1" x14ac:dyDescent="0.2">
      <c r="A44" s="236" t="s">
        <v>175</v>
      </c>
      <c r="B44" s="33" t="s">
        <v>62</v>
      </c>
      <c r="C44" s="35" cm="1">
        <f t="array" ref="C44">_xlfn.IFS($B$20=Verbruiksprofielen!$A$5,Verbruiksprofielen!E16,Achtergrondparameters!$B$20=Verbruiksprofielen!$A$27,Verbruiksprofielen!E38,Achtergrondparameters!$B$20=Verbruiksprofielen!$A$49,Verbruiksprofielen!E60,Achtergrondparameters!$B$20=Verbruiksprofielen!$A$71,Verbruiksprofielen!E82,Achtergrondparameters!$B$20=Verbruiksprofielen!$A$93,Verbruiksprofielen!E104,Achtergrondparameters!$B$20=Verbruiksprofielen!$A$115,Verbruiksprofielen!E126,Achtergrondparameters!$B$20=Verbruiksprofielen!$A$136,Verbruiksprofielen!E147,Achtergrondparameters!$B$20=Verbruiksprofielen!$A$157,Verbruiksprofielen!E168)</f>
        <v>0.12</v>
      </c>
      <c r="D44" s="35" cm="1">
        <f t="array" ref="D44">_xlfn.IFS($B$20=Verbruiksprofielen!$A$5,Verbruiksprofielen!F16,Achtergrondparameters!$B$20=Verbruiksprofielen!$A$27,Verbruiksprofielen!F38,Achtergrondparameters!$B$20=Verbruiksprofielen!$A$49,Verbruiksprofielen!F60,Achtergrondparameters!$B$20=Verbruiksprofielen!$A$71,Verbruiksprofielen!F82,Achtergrondparameters!$B$20=Verbruiksprofielen!$A$93,Verbruiksprofielen!F104,Achtergrondparameters!$B$20=Verbruiksprofielen!$A$115,Verbruiksprofielen!F126,Achtergrondparameters!$B$20=Verbruiksprofielen!$A$136,Verbruiksprofielen!F147,Achtergrondparameters!$B$20=Verbruiksprofielen!$A$157,Verbruiksprofielen!F168)</f>
        <v>0.11673252400216756</v>
      </c>
      <c r="E44" s="35" cm="1">
        <f t="array" ref="E44">_xlfn.IFS($B$20=Verbruiksprofielen!$A$5,Verbruiksprofielen!G16,Achtergrondparameters!$B$20=Verbruiksprofielen!$A$27,Verbruiksprofielen!G38,Achtergrondparameters!$B$20=Verbruiksprofielen!$A$49,Verbruiksprofielen!G60,Achtergrondparameters!$B$20=Verbruiksprofielen!$A$71,Verbruiksprofielen!G82,Achtergrondparameters!$B$20=Verbruiksprofielen!$A$93,Verbruiksprofielen!G104,Achtergrondparameters!$B$20=Verbruiksprofielen!$A$115,Verbruiksprofielen!G126,Achtergrondparameters!$B$20=Verbruiksprofielen!$A$136,Verbruiksprofielen!G147,Achtergrondparameters!$B$20=Verbruiksprofielen!$A$157,Verbruiksprofielen!G168)</f>
        <v>0.11346504800433513</v>
      </c>
      <c r="F44" s="35" cm="1">
        <f t="array" ref="F44">_xlfn.IFS($B$20=Verbruiksprofielen!$A$5,Verbruiksprofielen!H16,Achtergrondparameters!$B$20=Verbruiksprofielen!$A$27,Verbruiksprofielen!H38,Achtergrondparameters!$B$20=Verbruiksprofielen!$A$49,Verbruiksprofielen!H60,Achtergrondparameters!$B$20=Verbruiksprofielen!$A$71,Verbruiksprofielen!H82,Achtergrondparameters!$B$20=Verbruiksprofielen!$A$93,Verbruiksprofielen!H104,Achtergrondparameters!$B$20=Verbruiksprofielen!$A$115,Verbruiksprofielen!H126,Achtergrondparameters!$B$20=Verbruiksprofielen!$A$136,Verbruiksprofielen!H147,Achtergrondparameters!$B$20=Verbruiksprofielen!$A$157,Verbruiksprofielen!H168)</f>
        <v>0.11019757200650271</v>
      </c>
      <c r="G44" s="35" cm="1">
        <f t="array" ref="G44">_xlfn.IFS($B$20=Verbruiksprofielen!$A$5,Verbruiksprofielen!I16,Achtergrondparameters!$B$20=Verbruiksprofielen!$A$27,Verbruiksprofielen!I38,Achtergrondparameters!$B$20=Verbruiksprofielen!$A$49,Verbruiksprofielen!I60,Achtergrondparameters!$B$20=Verbruiksprofielen!$A$71,Verbruiksprofielen!I82,Achtergrondparameters!$B$20=Verbruiksprofielen!$A$93,Verbruiksprofielen!I104,Achtergrondparameters!$B$20=Verbruiksprofielen!$A$115,Verbruiksprofielen!I126,Achtergrondparameters!$B$20=Verbruiksprofielen!$A$136,Verbruiksprofielen!I147,Achtergrondparameters!$B$20=Verbruiksprofielen!$A$157,Verbruiksprofielen!I168)</f>
        <v>0.10693009600867028</v>
      </c>
      <c r="H44" s="35" cm="1">
        <f t="array" ref="H44">_xlfn.IFS($B$20=Verbruiksprofielen!$A$5,Verbruiksprofielen!J16,Achtergrondparameters!$B$20=Verbruiksprofielen!$A$27,Verbruiksprofielen!J38,Achtergrondparameters!$B$20=Verbruiksprofielen!$A$49,Verbruiksprofielen!J60,Achtergrondparameters!$B$20=Verbruiksprofielen!$A$71,Verbruiksprofielen!J82,Achtergrondparameters!$B$20=Verbruiksprofielen!$A$93,Verbruiksprofielen!J104,Achtergrondparameters!$B$20=Verbruiksprofielen!$A$115,Verbruiksprofielen!J126,Achtergrondparameters!$B$20=Verbruiksprofielen!$A$136,Verbruiksprofielen!J147,Achtergrondparameters!$B$20=Verbruiksprofielen!$A$157,Verbruiksprofielen!J168)</f>
        <v>0.10366262001083784</v>
      </c>
      <c r="I44" s="35" cm="1">
        <f t="array" ref="I44">_xlfn.IFS($B$20=Verbruiksprofielen!$A$5,Verbruiksprofielen!K16,Achtergrondparameters!$B$20=Verbruiksprofielen!$A$27,Verbruiksprofielen!K38,Achtergrondparameters!$B$20=Verbruiksprofielen!$A$49,Verbruiksprofielen!K60,Achtergrondparameters!$B$20=Verbruiksprofielen!$A$71,Verbruiksprofielen!K82,Achtergrondparameters!$B$20=Verbruiksprofielen!$A$93,Verbruiksprofielen!K104,Achtergrondparameters!$B$20=Verbruiksprofielen!$A$115,Verbruiksprofielen!K126,Achtergrondparameters!$B$20=Verbruiksprofielen!$A$136,Verbruiksprofielen!K147,Achtergrondparameters!$B$20=Verbruiksprofielen!$A$157,Verbruiksprofielen!K168)</f>
        <v>0.10405876070757882</v>
      </c>
      <c r="J44" s="35" cm="1">
        <f t="array" ref="J44">_xlfn.IFS($B$20=Verbruiksprofielen!$A$5,Verbruiksprofielen!L16,Achtergrondparameters!$B$20=Verbruiksprofielen!$A$27,Verbruiksprofielen!L38,Achtergrondparameters!$B$20=Verbruiksprofielen!$A$49,Verbruiksprofielen!L60,Achtergrondparameters!$B$20=Verbruiksprofielen!$A$71,Verbruiksprofielen!L82,Achtergrondparameters!$B$20=Verbruiksprofielen!$A$93,Verbruiksprofielen!L104,Achtergrondparameters!$B$20=Verbruiksprofielen!$A$115,Verbruiksprofielen!L126,Achtergrondparameters!$B$20=Verbruiksprofielen!$A$136,Verbruiksprofielen!L147,Achtergrondparameters!$B$20=Verbruiksprofielen!$A$157,Verbruiksprofielen!L168)</f>
        <v>0.10445490140431979</v>
      </c>
      <c r="K44" s="35" cm="1">
        <f t="array" ref="K44">_xlfn.IFS($B$20=Verbruiksprofielen!$A$5,Verbruiksprofielen!M16,Achtergrondparameters!$B$20=Verbruiksprofielen!$A$27,Verbruiksprofielen!M38,Achtergrondparameters!$B$20=Verbruiksprofielen!$A$49,Verbruiksprofielen!M60,Achtergrondparameters!$B$20=Verbruiksprofielen!$A$71,Verbruiksprofielen!M82,Achtergrondparameters!$B$20=Verbruiksprofielen!$A$93,Verbruiksprofielen!M104,Achtergrondparameters!$B$20=Verbruiksprofielen!$A$115,Verbruiksprofielen!M126,Achtergrondparameters!$B$20=Verbruiksprofielen!$A$136,Verbruiksprofielen!M147,Achtergrondparameters!$B$20=Verbruiksprofielen!$A$157,Verbruiksprofielen!M168)</f>
        <v>0.10485104210106078</v>
      </c>
      <c r="L44" s="35" cm="1">
        <f t="array" ref="L44">_xlfn.IFS($B$20=Verbruiksprofielen!$A$5,Verbruiksprofielen!N16,Achtergrondparameters!$B$20=Verbruiksprofielen!$A$27,Verbruiksprofielen!N38,Achtergrondparameters!$B$20=Verbruiksprofielen!$A$49,Verbruiksprofielen!N60,Achtergrondparameters!$B$20=Verbruiksprofielen!$A$71,Verbruiksprofielen!N82,Achtergrondparameters!$B$20=Verbruiksprofielen!$A$93,Verbruiksprofielen!N104,Achtergrondparameters!$B$20=Verbruiksprofielen!$A$115,Verbruiksprofielen!N126,Achtergrondparameters!$B$20=Verbruiksprofielen!$A$136,Verbruiksprofielen!N147,Achtergrondparameters!$B$20=Verbruiksprofielen!$A$157,Verbruiksprofielen!N168)</f>
        <v>0.10524718279780175</v>
      </c>
      <c r="M44" s="35" cm="1">
        <f t="array" ref="M44">_xlfn.IFS($B$20=Verbruiksprofielen!$A$5,Verbruiksprofielen!O16,Achtergrondparameters!$B$20=Verbruiksprofielen!$A$27,Verbruiksprofielen!O38,Achtergrondparameters!$B$20=Verbruiksprofielen!$A$49,Verbruiksprofielen!O60,Achtergrondparameters!$B$20=Verbruiksprofielen!$A$71,Verbruiksprofielen!O82,Achtergrondparameters!$B$20=Verbruiksprofielen!$A$93,Verbruiksprofielen!O104,Achtergrondparameters!$B$20=Verbruiksprofielen!$A$115,Verbruiksprofielen!O126,Achtergrondparameters!$B$20=Verbruiksprofielen!$A$136,Verbruiksprofielen!O147,Achtergrondparameters!$B$20=Verbruiksprofielen!$A$157,Verbruiksprofielen!O168)</f>
        <v>0.10564332349454272</v>
      </c>
      <c r="N44" s="35" cm="1">
        <f t="array" ref="N44">_xlfn.IFS($B$20=Verbruiksprofielen!$A$5,Verbruiksprofielen!P16,Achtergrondparameters!$B$20=Verbruiksprofielen!$A$27,Verbruiksprofielen!P38,Achtergrondparameters!$B$20=Verbruiksprofielen!$A$49,Verbruiksprofielen!P60,Achtergrondparameters!$B$20=Verbruiksprofielen!$A$71,Verbruiksprofielen!P82,Achtergrondparameters!$B$20=Verbruiksprofielen!$A$93,Verbruiksprofielen!P104,Achtergrondparameters!$B$20=Verbruiksprofielen!$A$115,Verbruiksprofielen!P126,Achtergrondparameters!$B$20=Verbruiksprofielen!$A$136,Verbruiksprofielen!P147,Achtergrondparameters!$B$20=Verbruiksprofielen!$A$157,Verbruiksprofielen!P168)</f>
        <v>0.10712040786670408</v>
      </c>
      <c r="O44" s="35" cm="1">
        <f t="array" ref="O44">_xlfn.IFS($B$20=Verbruiksprofielen!$A$5,Verbruiksprofielen!Q16,Achtergrondparameters!$B$20=Verbruiksprofielen!$A$27,Verbruiksprofielen!Q38,Achtergrondparameters!$B$20=Verbruiksprofielen!$A$49,Verbruiksprofielen!Q60,Achtergrondparameters!$B$20=Verbruiksprofielen!$A$71,Verbruiksprofielen!Q82,Achtergrondparameters!$B$20=Verbruiksprofielen!$A$93,Verbruiksprofielen!Q104,Achtergrondparameters!$B$20=Verbruiksprofielen!$A$115,Verbruiksprofielen!Q126,Achtergrondparameters!$B$20=Verbruiksprofielen!$A$136,Verbruiksprofielen!Q147,Achtergrondparameters!$B$20=Verbruiksprofielen!$A$157,Verbruiksprofielen!Q168)</f>
        <v>0.10859749223886543</v>
      </c>
      <c r="P44" s="35" cm="1">
        <f t="array" ref="P44">_xlfn.IFS($B$20=Verbruiksprofielen!$A$5,Verbruiksprofielen!R16,Achtergrondparameters!$B$20=Verbruiksprofielen!$A$27,Verbruiksprofielen!R38,Achtergrondparameters!$B$20=Verbruiksprofielen!$A$49,Verbruiksprofielen!R60,Achtergrondparameters!$B$20=Verbruiksprofielen!$A$71,Verbruiksprofielen!R82,Achtergrondparameters!$B$20=Verbruiksprofielen!$A$93,Verbruiksprofielen!R104,Achtergrondparameters!$B$20=Verbruiksprofielen!$A$115,Verbruiksprofielen!R126,Achtergrondparameters!$B$20=Verbruiksprofielen!$A$136,Verbruiksprofielen!R147,Achtergrondparameters!$B$20=Verbruiksprofielen!$A$157,Verbruiksprofielen!R168)</f>
        <v>0.11007457661102679</v>
      </c>
      <c r="Q44" s="35" cm="1">
        <f t="array" ref="Q44">_xlfn.IFS($B$20=Verbruiksprofielen!$A$5,Verbruiksprofielen!S16,Achtergrondparameters!$B$20=Verbruiksprofielen!$A$27,Verbruiksprofielen!S38,Achtergrondparameters!$B$20=Verbruiksprofielen!$A$49,Verbruiksprofielen!S60,Achtergrondparameters!$B$20=Verbruiksprofielen!$A$71,Verbruiksprofielen!S82,Achtergrondparameters!$B$20=Verbruiksprofielen!$A$93,Verbruiksprofielen!S104,Achtergrondparameters!$B$20=Verbruiksprofielen!$A$115,Verbruiksprofielen!S126,Achtergrondparameters!$B$20=Verbruiksprofielen!$A$136,Verbruiksprofielen!S147,Achtergrondparameters!$B$20=Verbruiksprofielen!$A$157,Verbruiksprofielen!S168)</f>
        <v>0.11155166098318814</v>
      </c>
      <c r="R44" s="35" cm="1">
        <f t="array" ref="R44">_xlfn.IFS($B$20=Verbruiksprofielen!$A$5,Verbruiksprofielen!T16,Achtergrondparameters!$B$20=Verbruiksprofielen!$A$27,Verbruiksprofielen!T38,Achtergrondparameters!$B$20=Verbruiksprofielen!$A$49,Verbruiksprofielen!T60,Achtergrondparameters!$B$20=Verbruiksprofielen!$A$71,Verbruiksprofielen!T82,Achtergrondparameters!$B$20=Verbruiksprofielen!$A$93,Verbruiksprofielen!T104,Achtergrondparameters!$B$20=Verbruiksprofielen!$A$115,Verbruiksprofielen!T126,Achtergrondparameters!$B$20=Verbruiksprofielen!$A$136,Verbruiksprofielen!T147,Achtergrondparameters!$B$20=Verbruiksprofielen!$A$157,Verbruiksprofielen!T168)</f>
        <v>0.1130287453553495</v>
      </c>
      <c r="S44" s="35" cm="1">
        <f t="array" ref="S44">_xlfn.IFS($B$20=Verbruiksprofielen!$A$5,Verbruiksprofielen!U16,Achtergrondparameters!$B$20=Verbruiksprofielen!$A$27,Verbruiksprofielen!U38,Achtergrondparameters!$B$20=Verbruiksprofielen!$A$49,Verbruiksprofielen!U60,Achtergrondparameters!$B$20=Verbruiksprofielen!$A$71,Verbruiksprofielen!U82,Achtergrondparameters!$B$20=Verbruiksprofielen!$A$93,Verbruiksprofielen!U104,Achtergrondparameters!$B$20=Verbruiksprofielen!$A$115,Verbruiksprofielen!U126,Achtergrondparameters!$B$20=Verbruiksprofielen!$A$136,Verbruiksprofielen!U147,Achtergrondparameters!$B$20=Verbruiksprofielen!$A$157,Verbruiksprofielen!U168)</f>
        <v>0.11232451075885434</v>
      </c>
      <c r="T44" s="35" cm="1">
        <f t="array" ref="T44">_xlfn.IFS($B$20=Verbruiksprofielen!$A$5,Verbruiksprofielen!V16,Achtergrondparameters!$B$20=Verbruiksprofielen!$A$27,Verbruiksprofielen!V38,Achtergrondparameters!$B$20=Verbruiksprofielen!$A$49,Verbruiksprofielen!V60,Achtergrondparameters!$B$20=Verbruiksprofielen!$A$71,Verbruiksprofielen!V82,Achtergrondparameters!$B$20=Verbruiksprofielen!$A$93,Verbruiksprofielen!V104,Achtergrondparameters!$B$20=Verbruiksprofielen!$A$115,Verbruiksprofielen!V126,Achtergrondparameters!$B$20=Verbruiksprofielen!$A$136,Verbruiksprofielen!V147,Achtergrondparameters!$B$20=Verbruiksprofielen!$A$157,Verbruiksprofielen!V168)</f>
        <v>0.11162027616235919</v>
      </c>
      <c r="U44" s="35" cm="1">
        <f t="array" ref="U44">_xlfn.IFS($B$20=Verbruiksprofielen!$A$5,Verbruiksprofielen!W16,Achtergrondparameters!$B$20=Verbruiksprofielen!$A$27,Verbruiksprofielen!W38,Achtergrondparameters!$B$20=Verbruiksprofielen!$A$49,Verbruiksprofielen!W60,Achtergrondparameters!$B$20=Verbruiksprofielen!$A$71,Verbruiksprofielen!W82,Achtergrondparameters!$B$20=Verbruiksprofielen!$A$93,Verbruiksprofielen!W104,Achtergrondparameters!$B$20=Verbruiksprofielen!$A$115,Verbruiksprofielen!W126,Achtergrondparameters!$B$20=Verbruiksprofielen!$A$136,Verbruiksprofielen!W147,Achtergrondparameters!$B$20=Verbruiksprofielen!$A$157,Verbruiksprofielen!W168)</f>
        <v>0.11091604156586402</v>
      </c>
      <c r="V44" s="35" cm="1">
        <f t="array" ref="V44">_xlfn.IFS($B$20=Verbruiksprofielen!$A$5,Verbruiksprofielen!X16,Achtergrondparameters!$B$20=Verbruiksprofielen!$A$27,Verbruiksprofielen!X38,Achtergrondparameters!$B$20=Verbruiksprofielen!$A$49,Verbruiksprofielen!X60,Achtergrondparameters!$B$20=Verbruiksprofielen!$A$71,Verbruiksprofielen!X82,Achtergrondparameters!$B$20=Verbruiksprofielen!$A$93,Verbruiksprofielen!X104,Achtergrondparameters!$B$20=Verbruiksprofielen!$A$115,Verbruiksprofielen!X126,Achtergrondparameters!$B$20=Verbruiksprofielen!$A$136,Verbruiksprofielen!X147,Achtergrondparameters!$B$20=Verbruiksprofielen!$A$157,Verbruiksprofielen!X168)</f>
        <v>0.11021180696936886</v>
      </c>
      <c r="W44" s="35" cm="1">
        <f t="array" ref="W44">_xlfn.IFS($B$20=Verbruiksprofielen!$A$5,Verbruiksprofielen!Y16,Achtergrondparameters!$B$20=Verbruiksprofielen!$A$27,Verbruiksprofielen!Y38,Achtergrondparameters!$B$20=Verbruiksprofielen!$A$49,Verbruiksprofielen!Y60,Achtergrondparameters!$B$20=Verbruiksprofielen!$A$71,Verbruiksprofielen!Y82,Achtergrondparameters!$B$20=Verbruiksprofielen!$A$93,Verbruiksprofielen!Y104,Achtergrondparameters!$B$20=Verbruiksprofielen!$A$115,Verbruiksprofielen!Y126,Achtergrondparameters!$B$20=Verbruiksprofielen!$A$136,Verbruiksprofielen!Y147,Achtergrondparameters!$B$20=Verbruiksprofielen!$A$157,Verbruiksprofielen!Y168)</f>
        <v>0.1095075723728737</v>
      </c>
      <c r="X44" s="35" cm="1">
        <f t="array" ref="X44">_xlfn.IFS($B$20=Verbruiksprofielen!$A$5,Verbruiksprofielen!Z16,Achtergrondparameters!$B$20=Verbruiksprofielen!$A$27,Verbruiksprofielen!Z38,Achtergrondparameters!$B$20=Verbruiksprofielen!$A$49,Verbruiksprofielen!Z60,Achtergrondparameters!$B$20=Verbruiksprofielen!$A$71,Verbruiksprofielen!Z82,Achtergrondparameters!$B$20=Verbruiksprofielen!$A$93,Verbruiksprofielen!Z104,Achtergrondparameters!$B$20=Verbruiksprofielen!$A$115,Verbruiksprofielen!Z126,Achtergrondparameters!$B$20=Verbruiksprofielen!$A$136,Verbruiksprofielen!Z147,Achtergrondparameters!$B$20=Verbruiksprofielen!$A$157,Verbruiksprofielen!Z168)</f>
        <v>0.10754035833615816</v>
      </c>
      <c r="Y44" s="35" cm="1">
        <f t="array" ref="Y44">_xlfn.IFS($B$20=Verbruiksprofielen!$A$5,Verbruiksprofielen!AA16,Achtergrondparameters!$B$20=Verbruiksprofielen!$A$27,Verbruiksprofielen!AA38,Achtergrondparameters!$B$20=Verbruiksprofielen!$A$49,Verbruiksprofielen!AA60,Achtergrondparameters!$B$20=Verbruiksprofielen!$A$71,Verbruiksprofielen!AA82,Achtergrondparameters!$B$20=Verbruiksprofielen!$A$93,Verbruiksprofielen!AA104,Achtergrondparameters!$B$20=Verbruiksprofielen!$A$115,Verbruiksprofielen!AA126,Achtergrondparameters!$B$20=Verbruiksprofielen!$A$136,Verbruiksprofielen!AA147,Achtergrondparameters!$B$20=Verbruiksprofielen!$A$157,Verbruiksprofielen!AA168)</f>
        <v>0.10557314429944262</v>
      </c>
      <c r="Z44" s="35" cm="1">
        <f t="array" ref="Z44">_xlfn.IFS($B$20=Verbruiksprofielen!$A$5,Verbruiksprofielen!AB16,Achtergrondparameters!$B$20=Verbruiksprofielen!$A$27,Verbruiksprofielen!AB38,Achtergrondparameters!$B$20=Verbruiksprofielen!$A$49,Verbruiksprofielen!AB60,Achtergrondparameters!$B$20=Verbruiksprofielen!$A$71,Verbruiksprofielen!AB82,Achtergrondparameters!$B$20=Verbruiksprofielen!$A$93,Verbruiksprofielen!AB104,Achtergrondparameters!$B$20=Verbruiksprofielen!$A$115,Verbruiksprofielen!AB126,Achtergrondparameters!$B$20=Verbruiksprofielen!$A$136,Verbruiksprofielen!AB147,Achtergrondparameters!$B$20=Verbruiksprofielen!$A$157,Verbruiksprofielen!AB168)</f>
        <v>0.10360593026272708</v>
      </c>
      <c r="AA44" s="35" cm="1">
        <f t="array" ref="AA44">_xlfn.IFS($B$20=Verbruiksprofielen!$A$5,Verbruiksprofielen!AC16,Achtergrondparameters!$B$20=Verbruiksprofielen!$A$27,Verbruiksprofielen!AC38,Achtergrondparameters!$B$20=Verbruiksprofielen!$A$49,Verbruiksprofielen!AC60,Achtergrondparameters!$B$20=Verbruiksprofielen!$A$71,Verbruiksprofielen!AC82,Achtergrondparameters!$B$20=Verbruiksprofielen!$A$93,Verbruiksprofielen!AC104,Achtergrondparameters!$B$20=Verbruiksprofielen!$A$115,Verbruiksprofielen!AC126,Achtergrondparameters!$B$20=Verbruiksprofielen!$A$136,Verbruiksprofielen!AC147,Achtergrondparameters!$B$20=Verbruiksprofielen!$A$157,Verbruiksprofielen!AC168)</f>
        <v>0.10163871622601153</v>
      </c>
      <c r="AB44" s="35" cm="1">
        <f t="array" ref="AB44">_xlfn.IFS($B$20=Verbruiksprofielen!$A$5,Verbruiksprofielen!AD16,Achtergrondparameters!$B$20=Verbruiksprofielen!$A$27,Verbruiksprofielen!AD38,Achtergrondparameters!$B$20=Verbruiksprofielen!$A$49,Verbruiksprofielen!AD60,Achtergrondparameters!$B$20=Verbruiksprofielen!$A$71,Verbruiksprofielen!AD82,Achtergrondparameters!$B$20=Verbruiksprofielen!$A$93,Verbruiksprofielen!AD104,Achtergrondparameters!$B$20=Verbruiksprofielen!$A$115,Verbruiksprofielen!AD126,Achtergrondparameters!$B$20=Verbruiksprofielen!$A$136,Verbruiksprofielen!AD147,Achtergrondparameters!$B$20=Verbruiksprofielen!$A$157,Verbruiksprofielen!AD168)</f>
        <v>9.9671502189295991E-2</v>
      </c>
      <c r="AC44" s="35" cm="1">
        <f t="array" ref="AC44">_xlfn.IFS($B$20=Verbruiksprofielen!$A$5,Verbruiksprofielen!AE16,Achtergrondparameters!$B$20=Verbruiksprofielen!$A$27,Verbruiksprofielen!AE38,Achtergrondparameters!$B$20=Verbruiksprofielen!$A$49,Verbruiksprofielen!AE60,Achtergrondparameters!$B$20=Verbruiksprofielen!$A$71,Verbruiksprofielen!AE82,Achtergrondparameters!$B$20=Verbruiksprofielen!$A$93,Verbruiksprofielen!AE104,Achtergrondparameters!$B$20=Verbruiksprofielen!$A$115,Verbruiksprofielen!AE126,Achtergrondparameters!$B$20=Verbruiksprofielen!$A$136,Verbruiksprofielen!AE147,Achtergrondparameters!$B$20=Verbruiksprofielen!$A$157,Verbruiksprofielen!AE168)</f>
        <v>9.9671502189295991E-2</v>
      </c>
      <c r="AD44" s="35" cm="1">
        <f t="array" ref="AD44">_xlfn.IFS($B$20=Verbruiksprofielen!$A$5,Verbruiksprofielen!AF16,Achtergrondparameters!$B$20=Verbruiksprofielen!$A$27,Verbruiksprofielen!AF38,Achtergrondparameters!$B$20=Verbruiksprofielen!$A$49,Verbruiksprofielen!AF60,Achtergrondparameters!$B$20=Verbruiksprofielen!$A$71,Verbruiksprofielen!AF82,Achtergrondparameters!$B$20=Verbruiksprofielen!$A$93,Verbruiksprofielen!AF104,Achtergrondparameters!$B$20=Verbruiksprofielen!$A$115,Verbruiksprofielen!AF126,Achtergrondparameters!$B$20=Verbruiksprofielen!$A$136,Verbruiksprofielen!AF147,Achtergrondparameters!$B$20=Verbruiksprofielen!$A$157,Verbruiksprofielen!AF168)</f>
        <v>9.9671502189295991E-2</v>
      </c>
      <c r="AE44" s="35" cm="1">
        <f t="array" ref="AE44">_xlfn.IFS($B$20=Verbruiksprofielen!$A$5,Verbruiksprofielen!AG16,Achtergrondparameters!$B$20=Verbruiksprofielen!$A$27,Verbruiksprofielen!AG38,Achtergrondparameters!$B$20=Verbruiksprofielen!$A$49,Verbruiksprofielen!AG60,Achtergrondparameters!$B$20=Verbruiksprofielen!$A$71,Verbruiksprofielen!AG82,Achtergrondparameters!$B$20=Verbruiksprofielen!$A$93,Verbruiksprofielen!AG104,Achtergrondparameters!$B$20=Verbruiksprofielen!$A$115,Verbruiksprofielen!AG126,Achtergrondparameters!$B$20=Verbruiksprofielen!$A$136,Verbruiksprofielen!AG147,Achtergrondparameters!$B$20=Verbruiksprofielen!$A$157,Verbruiksprofielen!AG168)</f>
        <v>9.9671502189295991E-2</v>
      </c>
      <c r="AF44" s="35" cm="1">
        <f t="array" ref="AF44">_xlfn.IFS($B$20=Verbruiksprofielen!$A$5,Verbruiksprofielen!AH16,Achtergrondparameters!$B$20=Verbruiksprofielen!$A$27,Verbruiksprofielen!AH38,Achtergrondparameters!$B$20=Verbruiksprofielen!$A$49,Verbruiksprofielen!AH60,Achtergrondparameters!$B$20=Verbruiksprofielen!$A$71,Verbruiksprofielen!AH82,Achtergrondparameters!$B$20=Verbruiksprofielen!$A$93,Verbruiksprofielen!AH104,Achtergrondparameters!$B$20=Verbruiksprofielen!$A$115,Verbruiksprofielen!AH126,Achtergrondparameters!$B$20=Verbruiksprofielen!$A$136,Verbruiksprofielen!AH147,Achtergrondparameters!$B$20=Verbruiksprofielen!$A$157,Verbruiksprofielen!AH168)</f>
        <v>9.9671502189295991E-2</v>
      </c>
    </row>
    <row r="45" spans="1:33" s="2" customFormat="1" ht="15.6" x14ac:dyDescent="0.3">
      <c r="A45" s="362" t="s">
        <v>87</v>
      </c>
      <c r="B45" s="33" t="s">
        <v>88</v>
      </c>
      <c r="C45" s="361" cm="1">
        <f t="array" ref="C45">_xlfn.IFS($B$20=Verbruiksprofielen!$A$5,Verbruiksprofielen!E17,Achtergrondparameters!$B$20=Verbruiksprofielen!$A$27,Verbruiksprofielen!E39,Achtergrondparameters!$B$20=Verbruiksprofielen!$A$49,Verbruiksprofielen!E61,Achtergrondparameters!$B$20=Verbruiksprofielen!$A$71,Verbruiksprofielen!E83,Achtergrondparameters!$B$20=Verbruiksprofielen!$A$93,Verbruiksprofielen!E105,Achtergrondparameters!$B$20=Verbruiksprofielen!$A$115,Verbruiksprofielen!E127,Achtergrondparameters!$B$20=Verbruiksprofielen!$A$136,Verbruiksprofielen!E148,Achtergrondparameters!$B$20=Verbruiksprofielen!$A$157,Verbruiksprofielen!E169)</f>
        <v>8000</v>
      </c>
      <c r="D45" s="361" cm="1">
        <f t="array" ref="D45">_xlfn.IFS($B$20=Verbruiksprofielen!$A$5,Verbruiksprofielen!F17,Achtergrondparameters!$B$20=Verbruiksprofielen!$A$27,Verbruiksprofielen!F39,Achtergrondparameters!$B$20=Verbruiksprofielen!$A$49,Verbruiksprofielen!F61,Achtergrondparameters!$B$20=Verbruiksprofielen!$A$71,Verbruiksprofielen!F83,Achtergrondparameters!$B$20=Verbruiksprofielen!$A$93,Verbruiksprofielen!F105,Achtergrondparameters!$B$20=Verbruiksprofielen!$A$115,Verbruiksprofielen!F127,Achtergrondparameters!$B$20=Verbruiksprofielen!$A$136,Verbruiksprofielen!F148,Achtergrondparameters!$B$20=Verbruiksprofielen!$A$157,Verbruiksprofielen!F169)</f>
        <v>8000</v>
      </c>
      <c r="E45" s="361" cm="1">
        <f t="array" ref="E45">_xlfn.IFS($B$20=Verbruiksprofielen!$A$5,Verbruiksprofielen!G17,Achtergrondparameters!$B$20=Verbruiksprofielen!$A$27,Verbruiksprofielen!G39,Achtergrondparameters!$B$20=Verbruiksprofielen!$A$49,Verbruiksprofielen!G61,Achtergrondparameters!$B$20=Verbruiksprofielen!$A$71,Verbruiksprofielen!G83,Achtergrondparameters!$B$20=Verbruiksprofielen!$A$93,Verbruiksprofielen!G105,Achtergrondparameters!$B$20=Verbruiksprofielen!$A$115,Verbruiksprofielen!G127,Achtergrondparameters!$B$20=Verbruiksprofielen!$A$136,Verbruiksprofielen!G148,Achtergrondparameters!$B$20=Verbruiksprofielen!$A$157,Verbruiksprofielen!G169)</f>
        <v>8000</v>
      </c>
      <c r="F45" s="361" cm="1">
        <f t="array" ref="F45">_xlfn.IFS($B$20=Verbruiksprofielen!$A$5,Verbruiksprofielen!H17,Achtergrondparameters!$B$20=Verbruiksprofielen!$A$27,Verbruiksprofielen!H39,Achtergrondparameters!$B$20=Verbruiksprofielen!$A$49,Verbruiksprofielen!H61,Achtergrondparameters!$B$20=Verbruiksprofielen!$A$71,Verbruiksprofielen!H83,Achtergrondparameters!$B$20=Verbruiksprofielen!$A$93,Verbruiksprofielen!H105,Achtergrondparameters!$B$20=Verbruiksprofielen!$A$115,Verbruiksprofielen!H127,Achtergrondparameters!$B$20=Verbruiksprofielen!$A$136,Verbruiksprofielen!H148,Achtergrondparameters!$B$20=Verbruiksprofielen!$A$157,Verbruiksprofielen!H169)</f>
        <v>8000</v>
      </c>
      <c r="G45" s="361" cm="1">
        <f t="array" ref="G45">_xlfn.IFS($B$20=Verbruiksprofielen!$A$5,Verbruiksprofielen!I17,Achtergrondparameters!$B$20=Verbruiksprofielen!$A$27,Verbruiksprofielen!I39,Achtergrondparameters!$B$20=Verbruiksprofielen!$A$49,Verbruiksprofielen!I61,Achtergrondparameters!$B$20=Verbruiksprofielen!$A$71,Verbruiksprofielen!I83,Achtergrondparameters!$B$20=Verbruiksprofielen!$A$93,Verbruiksprofielen!I105,Achtergrondparameters!$B$20=Verbruiksprofielen!$A$115,Verbruiksprofielen!I127,Achtergrondparameters!$B$20=Verbruiksprofielen!$A$136,Verbruiksprofielen!I148,Achtergrondparameters!$B$20=Verbruiksprofielen!$A$157,Verbruiksprofielen!I169)</f>
        <v>8000</v>
      </c>
      <c r="H45" s="361" cm="1">
        <f t="array" ref="H45">_xlfn.IFS($B$20=Verbruiksprofielen!$A$5,Verbruiksprofielen!J17,Achtergrondparameters!$B$20=Verbruiksprofielen!$A$27,Verbruiksprofielen!J39,Achtergrondparameters!$B$20=Verbruiksprofielen!$A$49,Verbruiksprofielen!J61,Achtergrondparameters!$B$20=Verbruiksprofielen!$A$71,Verbruiksprofielen!J83,Achtergrondparameters!$B$20=Verbruiksprofielen!$A$93,Verbruiksprofielen!J105,Achtergrondparameters!$B$20=Verbruiksprofielen!$A$115,Verbruiksprofielen!J127,Achtergrondparameters!$B$20=Verbruiksprofielen!$A$136,Verbruiksprofielen!J148,Achtergrondparameters!$B$20=Verbruiksprofielen!$A$157,Verbruiksprofielen!J169)</f>
        <v>8000</v>
      </c>
      <c r="I45" s="361" cm="1">
        <f t="array" ref="I45">_xlfn.IFS($B$20=Verbruiksprofielen!$A$5,Verbruiksprofielen!K17,Achtergrondparameters!$B$20=Verbruiksprofielen!$A$27,Verbruiksprofielen!K39,Achtergrondparameters!$B$20=Verbruiksprofielen!$A$49,Verbruiksprofielen!K61,Achtergrondparameters!$B$20=Verbruiksprofielen!$A$71,Verbruiksprofielen!K83,Achtergrondparameters!$B$20=Verbruiksprofielen!$A$93,Verbruiksprofielen!K105,Achtergrondparameters!$B$20=Verbruiksprofielen!$A$115,Verbruiksprofielen!K127,Achtergrondparameters!$B$20=Verbruiksprofielen!$A$136,Verbruiksprofielen!K148,Achtergrondparameters!$B$20=Verbruiksprofielen!$A$157,Verbruiksprofielen!K169)</f>
        <v>8000</v>
      </c>
      <c r="J45" s="361" cm="1">
        <f t="array" ref="J45">_xlfn.IFS($B$20=Verbruiksprofielen!$A$5,Verbruiksprofielen!L17,Achtergrondparameters!$B$20=Verbruiksprofielen!$A$27,Verbruiksprofielen!L39,Achtergrondparameters!$B$20=Verbruiksprofielen!$A$49,Verbruiksprofielen!L61,Achtergrondparameters!$B$20=Verbruiksprofielen!$A$71,Verbruiksprofielen!L83,Achtergrondparameters!$B$20=Verbruiksprofielen!$A$93,Verbruiksprofielen!L105,Achtergrondparameters!$B$20=Verbruiksprofielen!$A$115,Verbruiksprofielen!L127,Achtergrondparameters!$B$20=Verbruiksprofielen!$A$136,Verbruiksprofielen!L148,Achtergrondparameters!$B$20=Verbruiksprofielen!$A$157,Verbruiksprofielen!L169)</f>
        <v>8000</v>
      </c>
      <c r="K45" s="361" cm="1">
        <f t="array" ref="K45">_xlfn.IFS($B$20=Verbruiksprofielen!$A$5,Verbruiksprofielen!M17,Achtergrondparameters!$B$20=Verbruiksprofielen!$A$27,Verbruiksprofielen!M39,Achtergrondparameters!$B$20=Verbruiksprofielen!$A$49,Verbruiksprofielen!M61,Achtergrondparameters!$B$20=Verbruiksprofielen!$A$71,Verbruiksprofielen!M83,Achtergrondparameters!$B$20=Verbruiksprofielen!$A$93,Verbruiksprofielen!M105,Achtergrondparameters!$B$20=Verbruiksprofielen!$A$115,Verbruiksprofielen!M127,Achtergrondparameters!$B$20=Verbruiksprofielen!$A$136,Verbruiksprofielen!M148,Achtergrondparameters!$B$20=Verbruiksprofielen!$A$157,Verbruiksprofielen!M169)</f>
        <v>8000</v>
      </c>
      <c r="L45" s="361" cm="1">
        <f t="array" ref="L45">_xlfn.IFS($B$20=Verbruiksprofielen!$A$5,Verbruiksprofielen!N17,Achtergrondparameters!$B$20=Verbruiksprofielen!$A$27,Verbruiksprofielen!N39,Achtergrondparameters!$B$20=Verbruiksprofielen!$A$49,Verbruiksprofielen!N61,Achtergrondparameters!$B$20=Verbruiksprofielen!$A$71,Verbruiksprofielen!N83,Achtergrondparameters!$B$20=Verbruiksprofielen!$A$93,Verbruiksprofielen!N105,Achtergrondparameters!$B$20=Verbruiksprofielen!$A$115,Verbruiksprofielen!N127,Achtergrondparameters!$B$20=Verbruiksprofielen!$A$136,Verbruiksprofielen!N148,Achtergrondparameters!$B$20=Verbruiksprofielen!$A$157,Verbruiksprofielen!N169)</f>
        <v>8000</v>
      </c>
      <c r="M45" s="361" cm="1">
        <f t="array" ref="M45">_xlfn.IFS($B$20=Verbruiksprofielen!$A$5,Verbruiksprofielen!O17,Achtergrondparameters!$B$20=Verbruiksprofielen!$A$27,Verbruiksprofielen!O39,Achtergrondparameters!$B$20=Verbruiksprofielen!$A$49,Verbruiksprofielen!O61,Achtergrondparameters!$B$20=Verbruiksprofielen!$A$71,Verbruiksprofielen!O83,Achtergrondparameters!$B$20=Verbruiksprofielen!$A$93,Verbruiksprofielen!O105,Achtergrondparameters!$B$20=Verbruiksprofielen!$A$115,Verbruiksprofielen!O127,Achtergrondparameters!$B$20=Verbruiksprofielen!$A$136,Verbruiksprofielen!O148,Achtergrondparameters!$B$20=Verbruiksprofielen!$A$157,Verbruiksprofielen!O169)</f>
        <v>8000</v>
      </c>
      <c r="N45" s="361" cm="1">
        <f t="array" ref="N45">_xlfn.IFS($B$20=Verbruiksprofielen!$A$5,Verbruiksprofielen!P17,Achtergrondparameters!$B$20=Verbruiksprofielen!$A$27,Verbruiksprofielen!P39,Achtergrondparameters!$B$20=Verbruiksprofielen!$A$49,Verbruiksprofielen!P61,Achtergrondparameters!$B$20=Verbruiksprofielen!$A$71,Verbruiksprofielen!P83,Achtergrondparameters!$B$20=Verbruiksprofielen!$A$93,Verbruiksprofielen!P105,Achtergrondparameters!$B$20=Verbruiksprofielen!$A$115,Verbruiksprofielen!P127,Achtergrondparameters!$B$20=Verbruiksprofielen!$A$136,Verbruiksprofielen!P148,Achtergrondparameters!$B$20=Verbruiksprofielen!$A$157,Verbruiksprofielen!P169)</f>
        <v>8000</v>
      </c>
      <c r="O45" s="361" cm="1">
        <f t="array" ref="O45">_xlfn.IFS($B$20=Verbruiksprofielen!$A$5,Verbruiksprofielen!Q17,Achtergrondparameters!$B$20=Verbruiksprofielen!$A$27,Verbruiksprofielen!Q39,Achtergrondparameters!$B$20=Verbruiksprofielen!$A$49,Verbruiksprofielen!Q61,Achtergrondparameters!$B$20=Verbruiksprofielen!$A$71,Verbruiksprofielen!Q83,Achtergrondparameters!$B$20=Verbruiksprofielen!$A$93,Verbruiksprofielen!Q105,Achtergrondparameters!$B$20=Verbruiksprofielen!$A$115,Verbruiksprofielen!Q127,Achtergrondparameters!$B$20=Verbruiksprofielen!$A$136,Verbruiksprofielen!Q148,Achtergrondparameters!$B$20=Verbruiksprofielen!$A$157,Verbruiksprofielen!Q169)</f>
        <v>8000</v>
      </c>
      <c r="P45" s="361" cm="1">
        <f t="array" ref="P45">_xlfn.IFS($B$20=Verbruiksprofielen!$A$5,Verbruiksprofielen!R17,Achtergrondparameters!$B$20=Verbruiksprofielen!$A$27,Verbruiksprofielen!R39,Achtergrondparameters!$B$20=Verbruiksprofielen!$A$49,Verbruiksprofielen!R61,Achtergrondparameters!$B$20=Verbruiksprofielen!$A$71,Verbruiksprofielen!R83,Achtergrondparameters!$B$20=Verbruiksprofielen!$A$93,Verbruiksprofielen!R105,Achtergrondparameters!$B$20=Verbruiksprofielen!$A$115,Verbruiksprofielen!R127,Achtergrondparameters!$B$20=Verbruiksprofielen!$A$136,Verbruiksprofielen!R148,Achtergrondparameters!$B$20=Verbruiksprofielen!$A$157,Verbruiksprofielen!R169)</f>
        <v>8000</v>
      </c>
      <c r="Q45" s="361" cm="1">
        <f t="array" ref="Q45">_xlfn.IFS($B$20=Verbruiksprofielen!$A$5,Verbruiksprofielen!S17,Achtergrondparameters!$B$20=Verbruiksprofielen!$A$27,Verbruiksprofielen!S39,Achtergrondparameters!$B$20=Verbruiksprofielen!$A$49,Verbruiksprofielen!S61,Achtergrondparameters!$B$20=Verbruiksprofielen!$A$71,Verbruiksprofielen!S83,Achtergrondparameters!$B$20=Verbruiksprofielen!$A$93,Verbruiksprofielen!S105,Achtergrondparameters!$B$20=Verbruiksprofielen!$A$115,Verbruiksprofielen!S127,Achtergrondparameters!$B$20=Verbruiksprofielen!$A$136,Verbruiksprofielen!S148,Achtergrondparameters!$B$20=Verbruiksprofielen!$A$157,Verbruiksprofielen!S169)</f>
        <v>8000</v>
      </c>
      <c r="R45" s="361" cm="1">
        <f t="array" ref="R45">_xlfn.IFS($B$20=Verbruiksprofielen!$A$5,Verbruiksprofielen!T17,Achtergrondparameters!$B$20=Verbruiksprofielen!$A$27,Verbruiksprofielen!T39,Achtergrondparameters!$B$20=Verbruiksprofielen!$A$49,Verbruiksprofielen!T61,Achtergrondparameters!$B$20=Verbruiksprofielen!$A$71,Verbruiksprofielen!T83,Achtergrondparameters!$B$20=Verbruiksprofielen!$A$93,Verbruiksprofielen!T105,Achtergrondparameters!$B$20=Verbruiksprofielen!$A$115,Verbruiksprofielen!T127,Achtergrondparameters!$B$20=Verbruiksprofielen!$A$136,Verbruiksprofielen!T148,Achtergrondparameters!$B$20=Verbruiksprofielen!$A$157,Verbruiksprofielen!T169)</f>
        <v>8000</v>
      </c>
      <c r="S45" s="361" cm="1">
        <f t="array" ref="S45">_xlfn.IFS($B$20=Verbruiksprofielen!$A$5,Verbruiksprofielen!U17,Achtergrondparameters!$B$20=Verbruiksprofielen!$A$27,Verbruiksprofielen!U39,Achtergrondparameters!$B$20=Verbruiksprofielen!$A$49,Verbruiksprofielen!U61,Achtergrondparameters!$B$20=Verbruiksprofielen!$A$71,Verbruiksprofielen!U83,Achtergrondparameters!$B$20=Verbruiksprofielen!$A$93,Verbruiksprofielen!U105,Achtergrondparameters!$B$20=Verbruiksprofielen!$A$115,Verbruiksprofielen!U127,Achtergrondparameters!$B$20=Verbruiksprofielen!$A$136,Verbruiksprofielen!U148,Achtergrondparameters!$B$20=Verbruiksprofielen!$A$157,Verbruiksprofielen!U169)</f>
        <v>8000</v>
      </c>
      <c r="T45" s="361" cm="1">
        <f t="array" ref="T45">_xlfn.IFS($B$20=Verbruiksprofielen!$A$5,Verbruiksprofielen!V17,Achtergrondparameters!$B$20=Verbruiksprofielen!$A$27,Verbruiksprofielen!V39,Achtergrondparameters!$B$20=Verbruiksprofielen!$A$49,Verbruiksprofielen!V61,Achtergrondparameters!$B$20=Verbruiksprofielen!$A$71,Verbruiksprofielen!V83,Achtergrondparameters!$B$20=Verbruiksprofielen!$A$93,Verbruiksprofielen!V105,Achtergrondparameters!$B$20=Verbruiksprofielen!$A$115,Verbruiksprofielen!V127,Achtergrondparameters!$B$20=Verbruiksprofielen!$A$136,Verbruiksprofielen!V148,Achtergrondparameters!$B$20=Verbruiksprofielen!$A$157,Verbruiksprofielen!V169)</f>
        <v>8000</v>
      </c>
      <c r="U45" s="361" cm="1">
        <f t="array" ref="U45">_xlfn.IFS($B$20=Verbruiksprofielen!$A$5,Verbruiksprofielen!W17,Achtergrondparameters!$B$20=Verbruiksprofielen!$A$27,Verbruiksprofielen!W39,Achtergrondparameters!$B$20=Verbruiksprofielen!$A$49,Verbruiksprofielen!W61,Achtergrondparameters!$B$20=Verbruiksprofielen!$A$71,Verbruiksprofielen!W83,Achtergrondparameters!$B$20=Verbruiksprofielen!$A$93,Verbruiksprofielen!W105,Achtergrondparameters!$B$20=Verbruiksprofielen!$A$115,Verbruiksprofielen!W127,Achtergrondparameters!$B$20=Verbruiksprofielen!$A$136,Verbruiksprofielen!W148,Achtergrondparameters!$B$20=Verbruiksprofielen!$A$157,Verbruiksprofielen!W169)</f>
        <v>8000</v>
      </c>
      <c r="V45" s="361" cm="1">
        <f t="array" ref="V45">_xlfn.IFS($B$20=Verbruiksprofielen!$A$5,Verbruiksprofielen!X17,Achtergrondparameters!$B$20=Verbruiksprofielen!$A$27,Verbruiksprofielen!X39,Achtergrondparameters!$B$20=Verbruiksprofielen!$A$49,Verbruiksprofielen!X61,Achtergrondparameters!$B$20=Verbruiksprofielen!$A$71,Verbruiksprofielen!X83,Achtergrondparameters!$B$20=Verbruiksprofielen!$A$93,Verbruiksprofielen!X105,Achtergrondparameters!$B$20=Verbruiksprofielen!$A$115,Verbruiksprofielen!X127,Achtergrondparameters!$B$20=Verbruiksprofielen!$A$136,Verbruiksprofielen!X148,Achtergrondparameters!$B$20=Verbruiksprofielen!$A$157,Verbruiksprofielen!X169)</f>
        <v>8000</v>
      </c>
      <c r="W45" s="361" cm="1">
        <f t="array" ref="W45">_xlfn.IFS($B$20=Verbruiksprofielen!$A$5,Verbruiksprofielen!Y17,Achtergrondparameters!$B$20=Verbruiksprofielen!$A$27,Verbruiksprofielen!Y39,Achtergrondparameters!$B$20=Verbruiksprofielen!$A$49,Verbruiksprofielen!Y61,Achtergrondparameters!$B$20=Verbruiksprofielen!$A$71,Verbruiksprofielen!Y83,Achtergrondparameters!$B$20=Verbruiksprofielen!$A$93,Verbruiksprofielen!Y105,Achtergrondparameters!$B$20=Verbruiksprofielen!$A$115,Verbruiksprofielen!Y127,Achtergrondparameters!$B$20=Verbruiksprofielen!$A$136,Verbruiksprofielen!Y148,Achtergrondparameters!$B$20=Verbruiksprofielen!$A$157,Verbruiksprofielen!Y169)</f>
        <v>8000</v>
      </c>
      <c r="X45" s="361" cm="1">
        <f t="array" ref="X45">_xlfn.IFS($B$20=Verbruiksprofielen!$A$5,Verbruiksprofielen!Z17,Achtergrondparameters!$B$20=Verbruiksprofielen!$A$27,Verbruiksprofielen!Z39,Achtergrondparameters!$B$20=Verbruiksprofielen!$A$49,Verbruiksprofielen!Z61,Achtergrondparameters!$B$20=Verbruiksprofielen!$A$71,Verbruiksprofielen!Z83,Achtergrondparameters!$B$20=Verbruiksprofielen!$A$93,Verbruiksprofielen!Z105,Achtergrondparameters!$B$20=Verbruiksprofielen!$A$115,Verbruiksprofielen!Z127,Achtergrondparameters!$B$20=Verbruiksprofielen!$A$136,Verbruiksprofielen!Z148,Achtergrondparameters!$B$20=Verbruiksprofielen!$A$157,Verbruiksprofielen!Z169)</f>
        <v>8000</v>
      </c>
      <c r="Y45" s="361" cm="1">
        <f t="array" ref="Y45">_xlfn.IFS($B$20=Verbruiksprofielen!$A$5,Verbruiksprofielen!AA17,Achtergrondparameters!$B$20=Verbruiksprofielen!$A$27,Verbruiksprofielen!AA39,Achtergrondparameters!$B$20=Verbruiksprofielen!$A$49,Verbruiksprofielen!AA61,Achtergrondparameters!$B$20=Verbruiksprofielen!$A$71,Verbruiksprofielen!AA83,Achtergrondparameters!$B$20=Verbruiksprofielen!$A$93,Verbruiksprofielen!AA105,Achtergrondparameters!$B$20=Verbruiksprofielen!$A$115,Verbruiksprofielen!AA127,Achtergrondparameters!$B$20=Verbruiksprofielen!$A$136,Verbruiksprofielen!AA148,Achtergrondparameters!$B$20=Verbruiksprofielen!$A$157,Verbruiksprofielen!AA169)</f>
        <v>8000</v>
      </c>
      <c r="Z45" s="361" cm="1">
        <f t="array" ref="Z45">_xlfn.IFS($B$20=Verbruiksprofielen!$A$5,Verbruiksprofielen!AB17,Achtergrondparameters!$B$20=Verbruiksprofielen!$A$27,Verbruiksprofielen!AB39,Achtergrondparameters!$B$20=Verbruiksprofielen!$A$49,Verbruiksprofielen!AB61,Achtergrondparameters!$B$20=Verbruiksprofielen!$A$71,Verbruiksprofielen!AB83,Achtergrondparameters!$B$20=Verbruiksprofielen!$A$93,Verbruiksprofielen!AB105,Achtergrondparameters!$B$20=Verbruiksprofielen!$A$115,Verbruiksprofielen!AB127,Achtergrondparameters!$B$20=Verbruiksprofielen!$A$136,Verbruiksprofielen!AB148,Achtergrondparameters!$B$20=Verbruiksprofielen!$A$157,Verbruiksprofielen!AB169)</f>
        <v>8000</v>
      </c>
      <c r="AA45" s="361" cm="1">
        <f t="array" ref="AA45">_xlfn.IFS($B$20=Verbruiksprofielen!$A$5,Verbruiksprofielen!AC17,Achtergrondparameters!$B$20=Verbruiksprofielen!$A$27,Verbruiksprofielen!AC39,Achtergrondparameters!$B$20=Verbruiksprofielen!$A$49,Verbruiksprofielen!AC61,Achtergrondparameters!$B$20=Verbruiksprofielen!$A$71,Verbruiksprofielen!AC83,Achtergrondparameters!$B$20=Verbruiksprofielen!$A$93,Verbruiksprofielen!AC105,Achtergrondparameters!$B$20=Verbruiksprofielen!$A$115,Verbruiksprofielen!AC127,Achtergrondparameters!$B$20=Verbruiksprofielen!$A$136,Verbruiksprofielen!AC148,Achtergrondparameters!$B$20=Verbruiksprofielen!$A$157,Verbruiksprofielen!AC169)</f>
        <v>8000</v>
      </c>
      <c r="AB45" s="361" cm="1">
        <f t="array" ref="AB45">_xlfn.IFS($B$20=Verbruiksprofielen!$A$5,Verbruiksprofielen!AD17,Achtergrondparameters!$B$20=Verbruiksprofielen!$A$27,Verbruiksprofielen!AD39,Achtergrondparameters!$B$20=Verbruiksprofielen!$A$49,Verbruiksprofielen!AD61,Achtergrondparameters!$B$20=Verbruiksprofielen!$A$71,Verbruiksprofielen!AD83,Achtergrondparameters!$B$20=Verbruiksprofielen!$A$93,Verbruiksprofielen!AD105,Achtergrondparameters!$B$20=Verbruiksprofielen!$A$115,Verbruiksprofielen!AD127,Achtergrondparameters!$B$20=Verbruiksprofielen!$A$136,Verbruiksprofielen!AD148,Achtergrondparameters!$B$20=Verbruiksprofielen!$A$157,Verbruiksprofielen!AD169)</f>
        <v>8000</v>
      </c>
      <c r="AC45" s="361" cm="1">
        <f t="array" ref="AC45">_xlfn.IFS($B$20=Verbruiksprofielen!$A$5,Verbruiksprofielen!AE17,Achtergrondparameters!$B$20=Verbruiksprofielen!$A$27,Verbruiksprofielen!AE39,Achtergrondparameters!$B$20=Verbruiksprofielen!$A$49,Verbruiksprofielen!AE61,Achtergrondparameters!$B$20=Verbruiksprofielen!$A$71,Verbruiksprofielen!AE83,Achtergrondparameters!$B$20=Verbruiksprofielen!$A$93,Verbruiksprofielen!AE105,Achtergrondparameters!$B$20=Verbruiksprofielen!$A$115,Verbruiksprofielen!AE127,Achtergrondparameters!$B$20=Verbruiksprofielen!$A$136,Verbruiksprofielen!AE148,Achtergrondparameters!$B$20=Verbruiksprofielen!$A$157,Verbruiksprofielen!AE169)</f>
        <v>8000</v>
      </c>
      <c r="AD45" s="361" cm="1">
        <f t="array" ref="AD45">_xlfn.IFS($B$20=Verbruiksprofielen!$A$5,Verbruiksprofielen!AF17,Achtergrondparameters!$B$20=Verbruiksprofielen!$A$27,Verbruiksprofielen!AF39,Achtergrondparameters!$B$20=Verbruiksprofielen!$A$49,Verbruiksprofielen!AF61,Achtergrondparameters!$B$20=Verbruiksprofielen!$A$71,Verbruiksprofielen!AF83,Achtergrondparameters!$B$20=Verbruiksprofielen!$A$93,Verbruiksprofielen!AF105,Achtergrondparameters!$B$20=Verbruiksprofielen!$A$115,Verbruiksprofielen!AF127,Achtergrondparameters!$B$20=Verbruiksprofielen!$A$136,Verbruiksprofielen!AF148,Achtergrondparameters!$B$20=Verbruiksprofielen!$A$157,Verbruiksprofielen!AF169)</f>
        <v>8000</v>
      </c>
      <c r="AE45" s="361" cm="1">
        <f t="array" ref="AE45">_xlfn.IFS($B$20=Verbruiksprofielen!$A$5,Verbruiksprofielen!AG17,Achtergrondparameters!$B$20=Verbruiksprofielen!$A$27,Verbruiksprofielen!AG39,Achtergrondparameters!$B$20=Verbruiksprofielen!$A$49,Verbruiksprofielen!AG61,Achtergrondparameters!$B$20=Verbruiksprofielen!$A$71,Verbruiksprofielen!AG83,Achtergrondparameters!$B$20=Verbruiksprofielen!$A$93,Verbruiksprofielen!AG105,Achtergrondparameters!$B$20=Verbruiksprofielen!$A$115,Verbruiksprofielen!AG127,Achtergrondparameters!$B$20=Verbruiksprofielen!$A$136,Verbruiksprofielen!AG148,Achtergrondparameters!$B$20=Verbruiksprofielen!$A$157,Verbruiksprofielen!AG169)</f>
        <v>8000</v>
      </c>
      <c r="AF45" s="361" cm="1">
        <f t="array" ref="AF45">_xlfn.IFS($B$20=Verbruiksprofielen!$A$5,Verbruiksprofielen!AH17,Achtergrondparameters!$B$20=Verbruiksprofielen!$A$27,Verbruiksprofielen!AH39,Achtergrondparameters!$B$20=Verbruiksprofielen!$A$49,Verbruiksprofielen!AH61,Achtergrondparameters!$B$20=Verbruiksprofielen!$A$71,Verbruiksprofielen!AH83,Achtergrondparameters!$B$20=Verbruiksprofielen!$A$93,Verbruiksprofielen!AH105,Achtergrondparameters!$B$20=Verbruiksprofielen!$A$115,Verbruiksprofielen!AH127,Achtergrondparameters!$B$20=Verbruiksprofielen!$A$136,Verbruiksprofielen!AH148,Achtergrondparameters!$B$20=Verbruiksprofielen!$A$157,Verbruiksprofielen!AH169)</f>
        <v>8000</v>
      </c>
      <c r="AG45" s="153"/>
    </row>
    <row r="46" spans="1:33" s="2" customFormat="1" ht="15.6" x14ac:dyDescent="0.3">
      <c r="A46" s="18" t="s">
        <v>176</v>
      </c>
      <c r="B46" s="33"/>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153"/>
    </row>
    <row r="47" spans="1:33" s="2" customFormat="1" ht="15" customHeight="1" x14ac:dyDescent="0.3">
      <c r="A47" s="243" t="str">
        <f>"Netkosten " &amp; 'Dropdown lists'!B3</f>
        <v>Netkosten Fluvius</v>
      </c>
      <c r="B47" s="33" t="s">
        <v>170</v>
      </c>
      <c r="C47" s="28">
        <f>12*5.3181*(1+Referentieparameters!$B$8)^3</f>
        <v>67.723323177599994</v>
      </c>
      <c r="D47" s="28">
        <f>C47*(1+Referentieparameters!$B$8)</f>
        <v>69.077789641151995</v>
      </c>
      <c r="E47" s="28">
        <f>D47*(1+Referentieparameters!$B$8)</f>
        <v>70.459345433975031</v>
      </c>
      <c r="F47" s="28">
        <f>E47*(1+Referentieparameters!$B$8)</f>
        <v>71.868532342654532</v>
      </c>
      <c r="G47" s="28">
        <f>F47*(1+Referentieparameters!$B$8)</f>
        <v>73.305902989507629</v>
      </c>
      <c r="H47" s="28">
        <f>G47*(1+Referentieparameters!$B$8)</f>
        <v>74.772021049297777</v>
      </c>
      <c r="I47" s="28">
        <f>H47*(1+Referentieparameters!$B$8)</f>
        <v>76.267461470283735</v>
      </c>
      <c r="J47" s="28">
        <f>I47*(1+Referentieparameters!$B$8)</f>
        <v>77.792810699689412</v>
      </c>
      <c r="K47" s="28">
        <f>J47*(1+Referentieparameters!$B$8)</f>
        <v>79.348666913683203</v>
      </c>
      <c r="L47" s="28">
        <f>K47*(1+Referentieparameters!$B$8)</f>
        <v>80.935640251956869</v>
      </c>
      <c r="M47" s="28">
        <f>L47*(1+Referentieparameters!$B$8)</f>
        <v>82.554353056996007</v>
      </c>
      <c r="N47" s="28">
        <f>M47*(1+Referentieparameters!$B$8)</f>
        <v>84.205440118135925</v>
      </c>
      <c r="O47" s="28">
        <f>N47*(1+Referentieparameters!$B$8)</f>
        <v>85.88954892049864</v>
      </c>
      <c r="P47" s="28">
        <f>O47*(1+Referentieparameters!$B$8)</f>
        <v>87.60733989890862</v>
      </c>
      <c r="Q47" s="28">
        <f>P47*(1+Referentieparameters!$B$8)</f>
        <v>89.35948669688679</v>
      </c>
      <c r="R47" s="28">
        <f>Q47*(1+Referentieparameters!$B$8)</f>
        <v>91.146676430824527</v>
      </c>
      <c r="S47" s="28">
        <f>R47*(1+Referentieparameters!$B$8)</f>
        <v>92.969609959441016</v>
      </c>
      <c r="T47" s="28">
        <f>S47*(1+Referentieparameters!$B$8)</f>
        <v>94.829002158629834</v>
      </c>
      <c r="U47" s="28">
        <f>T47*(1+Referentieparameters!$B$8)</f>
        <v>96.725582201802439</v>
      </c>
      <c r="V47" s="28">
        <f>U47*(1+Referentieparameters!$B$8)</f>
        <v>98.660093845838489</v>
      </c>
      <c r="W47" s="28">
        <f>V47*(1+Referentieparameters!$B$8)</f>
        <v>100.63329572275526</v>
      </c>
      <c r="X47" s="28">
        <f>W47*(1+Referentieparameters!$B$8)</f>
        <v>102.64596163721038</v>
      </c>
      <c r="Y47" s="28">
        <f>X47*(1+Referentieparameters!$B$8)</f>
        <v>104.69888086995459</v>
      </c>
      <c r="Z47" s="28">
        <f>Y47*(1+Referentieparameters!$B$8)</f>
        <v>106.79285848735368</v>
      </c>
      <c r="AA47" s="28">
        <f>Z47*(1+Referentieparameters!$B$8)</f>
        <v>108.92871565710075</v>
      </c>
      <c r="AB47" s="28">
        <f>AA47*(1+Referentieparameters!$B$8)</f>
        <v>111.10728997024277</v>
      </c>
      <c r="AC47" s="28">
        <f>AB47*(1+Referentieparameters!$B$8)</f>
        <v>113.32943576964763</v>
      </c>
      <c r="AD47" s="28">
        <f>AC47*(1+Referentieparameters!$B$8)</f>
        <v>115.59602448504059</v>
      </c>
      <c r="AE47" s="28">
        <f>AD47*(1+Referentieparameters!$B$8)</f>
        <v>117.9079449747414</v>
      </c>
      <c r="AF47" s="28">
        <f>AE47*(1+Referentieparameters!$B$8)</f>
        <v>120.26610387423622</v>
      </c>
      <c r="AG47" s="153"/>
    </row>
    <row r="48" spans="1:33" s="2" customFormat="1" ht="14.25" customHeight="1" x14ac:dyDescent="0.3">
      <c r="A48" s="243" t="str">
        <f>"Netkosten " &amp; 'Dropdown lists'!B4</f>
        <v>Netkosten 70/36/30 kV Elia</v>
      </c>
      <c r="B48" s="33" t="s">
        <v>170</v>
      </c>
      <c r="C48" s="28">
        <f>12*3.7846</f>
        <v>45.415199999999999</v>
      </c>
      <c r="D48" s="28">
        <f>C48*(1+Referentieparameters!$B$8)</f>
        <v>46.323504</v>
      </c>
      <c r="E48" s="28">
        <f>D48*(1+Referentieparameters!$B$8)</f>
        <v>47.249974080000001</v>
      </c>
      <c r="F48" s="28">
        <f>E48*(1+Referentieparameters!$B$8)</f>
        <v>48.194973561600001</v>
      </c>
      <c r="G48" s="28">
        <f>F48*(1+Referentieparameters!$B$8)</f>
        <v>49.158873032832005</v>
      </c>
      <c r="H48" s="28">
        <f>G48*(1+Referentieparameters!$B$8)</f>
        <v>50.142050493488647</v>
      </c>
      <c r="I48" s="28">
        <f>H48*(1+Referentieparameters!$B$8)</f>
        <v>51.144891503358423</v>
      </c>
      <c r="J48" s="28">
        <f>I48*(1+Referentieparameters!$B$8)</f>
        <v>52.167789333425596</v>
      </c>
      <c r="K48" s="28">
        <f>J48*(1+Referentieparameters!$B$8)</f>
        <v>53.211145120094109</v>
      </c>
      <c r="L48" s="28">
        <f>K48*(1+Referentieparameters!$B$8)</f>
        <v>54.275368022495989</v>
      </c>
      <c r="M48" s="28">
        <f>L48*(1+Referentieparameters!$B$8)</f>
        <v>55.360875382945913</v>
      </c>
      <c r="N48" s="28">
        <f>M48*(1+Referentieparameters!$B$8)</f>
        <v>56.468092890604829</v>
      </c>
      <c r="O48" s="28">
        <f>N48*(1+Referentieparameters!$B$8)</f>
        <v>57.597454748416929</v>
      </c>
      <c r="P48" s="28">
        <f>O48*(1+Referentieparameters!$B$8)</f>
        <v>58.749403843385267</v>
      </c>
      <c r="Q48" s="28">
        <f>P48*(1+Referentieparameters!$B$8)</f>
        <v>59.924391920252972</v>
      </c>
      <c r="R48" s="28">
        <f>Q48*(1+Referentieparameters!$B$8)</f>
        <v>61.12287975865803</v>
      </c>
      <c r="S48" s="28">
        <f>R48*(1+Referentieparameters!$B$8)</f>
        <v>62.345337353831191</v>
      </c>
      <c r="T48" s="28">
        <f>S48*(1+Referentieparameters!$B$8)</f>
        <v>63.592244100907813</v>
      </c>
      <c r="U48" s="28">
        <f>T48*(1+Referentieparameters!$B$8)</f>
        <v>64.864088982925963</v>
      </c>
      <c r="V48" s="28">
        <f>U48*(1+Referentieparameters!$B$8)</f>
        <v>66.161370762584482</v>
      </c>
      <c r="W48" s="28">
        <f>V48*(1+Referentieparameters!$B$8)</f>
        <v>67.484598177836176</v>
      </c>
      <c r="X48" s="28">
        <f>W48*(1+Referentieparameters!$B$8)</f>
        <v>68.834290141392898</v>
      </c>
      <c r="Y48" s="28">
        <f>X48*(1+Referentieparameters!$B$8)</f>
        <v>70.210975944220763</v>
      </c>
      <c r="Z48" s="28">
        <f>Y48*(1+Referentieparameters!$B$8)</f>
        <v>71.615195463105181</v>
      </c>
      <c r="AA48" s="28">
        <f>Z48*(1+Referentieparameters!$B$8)</f>
        <v>73.047499372367284</v>
      </c>
      <c r="AB48" s="28">
        <f>AA48*(1+Referentieparameters!$B$8)</f>
        <v>74.508449359814634</v>
      </c>
      <c r="AC48" s="28">
        <f>AB48*(1+Referentieparameters!$B$8)</f>
        <v>75.998618347010932</v>
      </c>
      <c r="AD48" s="28">
        <f>AC48*(1+Referentieparameters!$B$8)</f>
        <v>77.518590713951156</v>
      </c>
      <c r="AE48" s="28">
        <f>AD48*(1+Referentieparameters!$B$8)</f>
        <v>79.068962528230173</v>
      </c>
      <c r="AF48" s="28">
        <f>AE48*(1+Referentieparameters!$B$8)</f>
        <v>80.650341778794782</v>
      </c>
      <c r="AG48" s="153"/>
    </row>
    <row r="49" spans="1:33" s="2" customFormat="1" ht="14.25" customHeight="1" x14ac:dyDescent="0.3">
      <c r="A49" s="243" t="str">
        <f>"Netkosten " &amp; 'Dropdown lists'!B5</f>
        <v>Netkosten 380/220/150 kV Elia</v>
      </c>
      <c r="B49" s="33" t="s">
        <v>170</v>
      </c>
      <c r="C49" s="28">
        <f>12*2.4468</f>
        <v>29.361600000000003</v>
      </c>
      <c r="D49" s="28">
        <f>C49*(1+Referentieparameters!$B$8)</f>
        <v>29.948832000000003</v>
      </c>
      <c r="E49" s="28">
        <f>D49*(1+Referentieparameters!$B$8)</f>
        <v>30.547808640000003</v>
      </c>
      <c r="F49" s="28">
        <f>E49*(1+Referentieparameters!$B$8)</f>
        <v>31.158764812800005</v>
      </c>
      <c r="G49" s="28">
        <f>F49*(1+Referentieparameters!$B$8)</f>
        <v>31.781940109056006</v>
      </c>
      <c r="H49" s="28">
        <f>G49*(1+Referentieparameters!$B$8)</f>
        <v>32.417578911237129</v>
      </c>
      <c r="I49" s="28">
        <f>H49*(1+Referentieparameters!$B$8)</f>
        <v>33.06593048946187</v>
      </c>
      <c r="J49" s="28">
        <f>I49*(1+Referentieparameters!$B$8)</f>
        <v>33.727249099251111</v>
      </c>
      <c r="K49" s="28">
        <f>J49*(1+Referentieparameters!$B$8)</f>
        <v>34.401794081236133</v>
      </c>
      <c r="L49" s="28">
        <f>K49*(1+Referentieparameters!$B$8)</f>
        <v>35.089829962860854</v>
      </c>
      <c r="M49" s="28">
        <f>L49*(1+Referentieparameters!$B$8)</f>
        <v>35.791626562118068</v>
      </c>
      <c r="N49" s="28">
        <f>M49*(1+Referentieparameters!$B$8)</f>
        <v>36.507459093360431</v>
      </c>
      <c r="O49" s="28">
        <f>N49*(1+Referentieparameters!$B$8)</f>
        <v>37.237608275227643</v>
      </c>
      <c r="P49" s="28">
        <f>O49*(1+Referentieparameters!$B$8)</f>
        <v>37.982360440732194</v>
      </c>
      <c r="Q49" s="28">
        <f>P49*(1+Referentieparameters!$B$8)</f>
        <v>38.742007649546835</v>
      </c>
      <c r="R49" s="28">
        <f>Q49*(1+Referentieparameters!$B$8)</f>
        <v>39.516847802537775</v>
      </c>
      <c r="S49" s="28">
        <f>R49*(1+Referentieparameters!$B$8)</f>
        <v>40.307184758588534</v>
      </c>
      <c r="T49" s="28">
        <f>S49*(1+Referentieparameters!$B$8)</f>
        <v>41.113328453760303</v>
      </c>
      <c r="U49" s="28">
        <f>T49*(1+Referentieparameters!$B$8)</f>
        <v>41.935595022835507</v>
      </c>
      <c r="V49" s="28">
        <f>U49*(1+Referentieparameters!$B$8)</f>
        <v>42.774306923292215</v>
      </c>
      <c r="W49" s="28">
        <f>V49*(1+Referentieparameters!$B$8)</f>
        <v>43.629793061758058</v>
      </c>
      <c r="X49" s="28">
        <f>W49*(1+Referentieparameters!$B$8)</f>
        <v>44.502388922993219</v>
      </c>
      <c r="Y49" s="28">
        <f>X49*(1+Referentieparameters!$B$8)</f>
        <v>45.392436701453086</v>
      </c>
      <c r="Z49" s="28">
        <f>Y49*(1+Referentieparameters!$B$8)</f>
        <v>46.300285435482145</v>
      </c>
      <c r="AA49" s="28">
        <f>Z49*(1+Referentieparameters!$B$8)</f>
        <v>47.226291144191791</v>
      </c>
      <c r="AB49" s="28">
        <f>AA49*(1+Referentieparameters!$B$8)</f>
        <v>48.170816967075631</v>
      </c>
      <c r="AC49" s="28">
        <f>AB49*(1+Referentieparameters!$B$8)</f>
        <v>49.134233306417144</v>
      </c>
      <c r="AD49" s="28">
        <f>AC49*(1+Referentieparameters!$B$8)</f>
        <v>50.116917972545487</v>
      </c>
      <c r="AE49" s="28">
        <f>AD49*(1+Referentieparameters!$B$8)</f>
        <v>51.119256331996397</v>
      </c>
      <c r="AF49" s="28">
        <f>AE49*(1+Referentieparameters!$B$8)</f>
        <v>52.141641458636329</v>
      </c>
      <c r="AG49" s="153"/>
    </row>
    <row r="50" spans="1:33" s="2" customFormat="1" ht="14.1" customHeight="1" x14ac:dyDescent="0.3">
      <c r="A50" s="46" t="s">
        <v>171</v>
      </c>
      <c r="B50" s="56" t="s">
        <v>172</v>
      </c>
      <c r="C50" s="28">
        <f>0.00772</f>
        <v>7.7200000000000003E-3</v>
      </c>
      <c r="D50" s="28">
        <f>C50*(1+Referentieparameters!$B$8)</f>
        <v>7.8744000000000001E-3</v>
      </c>
      <c r="E50" s="28">
        <f>D50*(1+Referentieparameters!$B$8)</f>
        <v>8.0318880000000009E-3</v>
      </c>
      <c r="F50" s="28">
        <f>E50*(1+Referentieparameters!$B$8)</f>
        <v>8.1925257600000013E-3</v>
      </c>
      <c r="G50" s="28">
        <f>F50*(1+Referentieparameters!$B$8)</f>
        <v>8.3563762752000021E-3</v>
      </c>
      <c r="H50" s="28">
        <f>G50*(1+Referentieparameters!$B$8)</f>
        <v>8.5235038007040031E-3</v>
      </c>
      <c r="I50" s="28">
        <f>H50*(1+Referentieparameters!$B$8)</f>
        <v>8.6939738767180825E-3</v>
      </c>
      <c r="J50" s="28">
        <f>I50*(1+Referentieparameters!$B$8)</f>
        <v>8.8678533542524435E-3</v>
      </c>
      <c r="K50" s="28">
        <f>J50*(1+Referentieparameters!$B$8)</f>
        <v>9.0452104213374924E-3</v>
      </c>
      <c r="L50" s="28">
        <f>K50*(1+Referentieparameters!$B$8)</f>
        <v>9.226114629764243E-3</v>
      </c>
      <c r="M50" s="28">
        <f>L50*(1+Referentieparameters!$B$8)</f>
        <v>9.4106369223595273E-3</v>
      </c>
      <c r="N50" s="28">
        <f>M50*(1+Referentieparameters!$B$8)</f>
        <v>9.5988496608067179E-3</v>
      </c>
      <c r="O50" s="28">
        <f>N50*(1+Referentieparameters!$B$8)</f>
        <v>9.7908266540228522E-3</v>
      </c>
      <c r="P50" s="28">
        <f>O50*(1+Referentieparameters!$B$8)</f>
        <v>9.9866431871033102E-3</v>
      </c>
      <c r="Q50" s="28">
        <f>P50*(1+Referentieparameters!$B$8)</f>
        <v>1.0186376050845377E-2</v>
      </c>
      <c r="R50" s="28">
        <f>Q50*(1+Referentieparameters!$B$8)</f>
        <v>1.0390103571862284E-2</v>
      </c>
      <c r="S50" s="28">
        <f>R50*(1+Referentieparameters!$B$8)</f>
        <v>1.0597905643299531E-2</v>
      </c>
      <c r="T50" s="28">
        <f>S50*(1+Referentieparameters!$B$8)</f>
        <v>1.0809863756165522E-2</v>
      </c>
      <c r="U50" s="28">
        <f>T50*(1+Referentieparameters!$B$8)</f>
        <v>1.1026061031288833E-2</v>
      </c>
      <c r="V50" s="28">
        <f>U50*(1+Referentieparameters!$B$8)</f>
        <v>1.124658225191461E-2</v>
      </c>
      <c r="W50" s="28">
        <f>V50*(1+Referentieparameters!$B$8)</f>
        <v>1.1471513896952903E-2</v>
      </c>
      <c r="X50" s="28">
        <f>W50*(1+Referentieparameters!$B$8)</f>
        <v>1.1700944174891962E-2</v>
      </c>
      <c r="Y50" s="28">
        <f>X50*(1+Referentieparameters!$B$8)</f>
        <v>1.1934963058389801E-2</v>
      </c>
      <c r="Z50" s="28">
        <f>Y50*(1+Referentieparameters!$B$8)</f>
        <v>1.2173662319557597E-2</v>
      </c>
      <c r="AA50" s="28">
        <f>Z50*(1+Referentieparameters!$B$8)</f>
        <v>1.2417135565948749E-2</v>
      </c>
      <c r="AB50" s="28">
        <f>AA50*(1+Referentieparameters!$B$8)</f>
        <v>1.2665478277267724E-2</v>
      </c>
      <c r="AC50" s="28">
        <f>AB50*(1+Referentieparameters!$B$8)</f>
        <v>1.2918787842813079E-2</v>
      </c>
      <c r="AD50" s="28">
        <f>AC50*(1+Referentieparameters!$B$8)</f>
        <v>1.3177163599669341E-2</v>
      </c>
      <c r="AE50" s="28">
        <f>AD50*(1+Referentieparameters!$B$8)</f>
        <v>1.3440706871662728E-2</v>
      </c>
      <c r="AF50" s="28">
        <f>AE50*(1+Referentieparameters!$B$8)</f>
        <v>1.3709521009095983E-2</v>
      </c>
      <c r="AG50" s="153"/>
    </row>
    <row r="51" spans="1:33" s="2" customFormat="1" ht="14.1" customHeight="1" x14ac:dyDescent="0.3">
      <c r="A51" s="46"/>
      <c r="B51" s="56"/>
      <c r="C51" s="28"/>
      <c r="D51" s="28"/>
      <c r="E51" s="28"/>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153"/>
    </row>
    <row r="52" spans="1:33" ht="14.25" customHeight="1" x14ac:dyDescent="0.2">
      <c r="A52" s="237" t="s">
        <v>77</v>
      </c>
      <c r="B52" s="2"/>
    </row>
    <row r="53" spans="1:33" ht="14.25" customHeight="1" x14ac:dyDescent="0.2">
      <c r="A53" s="238" t="s">
        <v>135</v>
      </c>
      <c r="B53" s="58" t="s">
        <v>81</v>
      </c>
      <c r="C53" s="154" t="s">
        <v>136</v>
      </c>
      <c r="D53" s="154" t="s">
        <v>137</v>
      </c>
      <c r="E53" s="154" t="s">
        <v>138</v>
      </c>
      <c r="F53" s="154" t="s">
        <v>139</v>
      </c>
      <c r="G53" s="154" t="s">
        <v>140</v>
      </c>
      <c r="H53" s="154" t="s">
        <v>141</v>
      </c>
      <c r="I53" s="154" t="s">
        <v>142</v>
      </c>
      <c r="J53" s="154" t="s">
        <v>143</v>
      </c>
      <c r="K53" s="154" t="s">
        <v>144</v>
      </c>
      <c r="L53" s="154" t="s">
        <v>145</v>
      </c>
      <c r="M53" s="154" t="s">
        <v>146</v>
      </c>
      <c r="N53" s="154" t="s">
        <v>147</v>
      </c>
      <c r="O53" s="154" t="s">
        <v>148</v>
      </c>
      <c r="P53" s="154" t="s">
        <v>149</v>
      </c>
      <c r="Q53" s="154" t="s">
        <v>150</v>
      </c>
      <c r="R53" s="154" t="s">
        <v>151</v>
      </c>
      <c r="S53" s="154" t="s">
        <v>152</v>
      </c>
      <c r="T53" s="154" t="s">
        <v>153</v>
      </c>
      <c r="U53" s="154" t="s">
        <v>154</v>
      </c>
      <c r="V53" s="154" t="s">
        <v>155</v>
      </c>
      <c r="W53" s="154" t="s">
        <v>156</v>
      </c>
      <c r="X53" s="154" t="s">
        <v>157</v>
      </c>
      <c r="Y53" s="154" t="s">
        <v>158</v>
      </c>
      <c r="Z53" s="154" t="s">
        <v>159</v>
      </c>
      <c r="AA53" s="154" t="s">
        <v>160</v>
      </c>
      <c r="AB53" s="154" t="s">
        <v>161</v>
      </c>
      <c r="AC53" s="154" t="s">
        <v>162</v>
      </c>
      <c r="AD53" s="154" t="s">
        <v>163</v>
      </c>
      <c r="AE53" s="154" t="s">
        <v>164</v>
      </c>
      <c r="AF53" s="154" t="s">
        <v>165</v>
      </c>
    </row>
    <row r="54" spans="1:33" ht="14.25" customHeight="1" x14ac:dyDescent="0.2">
      <c r="A54" s="18" t="s">
        <v>174</v>
      </c>
      <c r="B54" s="33" t="s">
        <v>90</v>
      </c>
      <c r="C54" s="50" cm="1">
        <f t="array" ref="C54">_xlfn.IFS($B$20=Verbruiksprofielen!$A$5,Verbruiksprofielen!E20,Achtergrondparameters!$B$20=Verbruiksprofielen!$A$27,Verbruiksprofielen!E42,Achtergrondparameters!$B$20=Verbruiksprofielen!$A$49,Verbruiksprofielen!E64,Achtergrondparameters!$B$20=Verbruiksprofielen!$A$71,Verbruiksprofielen!E86,Achtergrondparameters!$B$20=Verbruiksprofielen!$A$93,Verbruiksprofielen!E108,Achtergrondparameters!$B$20=Verbruiksprofielen!$A$115,Verbruiksprofielen!E130,Achtergrondparameters!$B$20=Verbruiksprofielen!$A$136,Verbruiksprofielen!E151,Achtergrondparameters!$B$20=Verbruiksprofielen!$A$157,Verbruiksprofielen!E172)</f>
        <v>3.2000000000000001E-2</v>
      </c>
      <c r="D54" s="50" cm="1">
        <f t="array" ref="D54">_xlfn.IFS($B$20=Verbruiksprofielen!$A$5,Verbruiksprofielen!F20,Achtergrondparameters!$B$20=Verbruiksprofielen!$A$27,Verbruiksprofielen!F42,Achtergrondparameters!$B$20=Verbruiksprofielen!$A$49,Verbruiksprofielen!F64,Achtergrondparameters!$B$20=Verbruiksprofielen!$A$71,Verbruiksprofielen!F86,Achtergrondparameters!$B$20=Verbruiksprofielen!$A$93,Verbruiksprofielen!F108,Achtergrondparameters!$B$20=Verbruiksprofielen!$A$115,Verbruiksprofielen!F130,Achtergrondparameters!$B$20=Verbruiksprofielen!$A$136,Verbruiksprofielen!F151,Achtergrondparameters!$B$20=Verbruiksprofielen!$A$157,Verbruiksprofielen!F172)</f>
        <v>3.2000000000000001E-2</v>
      </c>
      <c r="E54" s="50" cm="1">
        <f t="array" ref="E54">_xlfn.IFS($B$20=Verbruiksprofielen!$A$5,Verbruiksprofielen!G20,Achtergrondparameters!$B$20=Verbruiksprofielen!$A$27,Verbruiksprofielen!G42,Achtergrondparameters!$B$20=Verbruiksprofielen!$A$49,Verbruiksprofielen!G64,Achtergrondparameters!$B$20=Verbruiksprofielen!$A$71,Verbruiksprofielen!G86,Achtergrondparameters!$B$20=Verbruiksprofielen!$A$93,Verbruiksprofielen!G108,Achtergrondparameters!$B$20=Verbruiksprofielen!$A$115,Verbruiksprofielen!G130,Achtergrondparameters!$B$20=Verbruiksprofielen!$A$136,Verbruiksprofielen!G151,Achtergrondparameters!$B$20=Verbruiksprofielen!$A$157,Verbruiksprofielen!G172)</f>
        <v>3.2000000000000001E-2</v>
      </c>
      <c r="F54" s="50" cm="1">
        <f t="array" ref="F54">_xlfn.IFS($B$20=Verbruiksprofielen!$A$5,Verbruiksprofielen!H20,Achtergrondparameters!$B$20=Verbruiksprofielen!$A$27,Verbruiksprofielen!H42,Achtergrondparameters!$B$20=Verbruiksprofielen!$A$49,Verbruiksprofielen!H64,Achtergrondparameters!$B$20=Verbruiksprofielen!$A$71,Verbruiksprofielen!H86,Achtergrondparameters!$B$20=Verbruiksprofielen!$A$93,Verbruiksprofielen!H108,Achtergrondparameters!$B$20=Verbruiksprofielen!$A$115,Verbruiksprofielen!H130,Achtergrondparameters!$B$20=Verbruiksprofielen!$A$136,Verbruiksprofielen!H151,Achtergrondparameters!$B$20=Verbruiksprofielen!$A$157,Verbruiksprofielen!H172)</f>
        <v>3.2000000000000001E-2</v>
      </c>
      <c r="G54" s="50" cm="1">
        <f t="array" ref="G54">_xlfn.IFS($B$20=Verbruiksprofielen!$A$5,Verbruiksprofielen!I20,Achtergrondparameters!$B$20=Verbruiksprofielen!$A$27,Verbruiksprofielen!I42,Achtergrondparameters!$B$20=Verbruiksprofielen!$A$49,Verbruiksprofielen!I64,Achtergrondparameters!$B$20=Verbruiksprofielen!$A$71,Verbruiksprofielen!I86,Achtergrondparameters!$B$20=Verbruiksprofielen!$A$93,Verbruiksprofielen!I108,Achtergrondparameters!$B$20=Verbruiksprofielen!$A$115,Verbruiksprofielen!I130,Achtergrondparameters!$B$20=Verbruiksprofielen!$A$136,Verbruiksprofielen!I151,Achtergrondparameters!$B$20=Verbruiksprofielen!$A$157,Verbruiksprofielen!I172)</f>
        <v>3.2000000000000001E-2</v>
      </c>
      <c r="H54" s="50" cm="1">
        <f t="array" ref="H54">_xlfn.IFS($B$20=Verbruiksprofielen!$A$5,Verbruiksprofielen!J20,Achtergrondparameters!$B$20=Verbruiksprofielen!$A$27,Verbruiksprofielen!J42,Achtergrondparameters!$B$20=Verbruiksprofielen!$A$49,Verbruiksprofielen!J64,Achtergrondparameters!$B$20=Verbruiksprofielen!$A$71,Verbruiksprofielen!J86,Achtergrondparameters!$B$20=Verbruiksprofielen!$A$93,Verbruiksprofielen!J108,Achtergrondparameters!$B$20=Verbruiksprofielen!$A$115,Verbruiksprofielen!J130,Achtergrondparameters!$B$20=Verbruiksprofielen!$A$136,Verbruiksprofielen!J151,Achtergrondparameters!$B$20=Verbruiksprofielen!$A$157,Verbruiksprofielen!J172)</f>
        <v>3.2000000000000001E-2</v>
      </c>
      <c r="I54" s="50" cm="1">
        <f t="array" ref="I54">_xlfn.IFS($B$20=Verbruiksprofielen!$A$5,Verbruiksprofielen!K20,Achtergrondparameters!$B$20=Verbruiksprofielen!$A$27,Verbruiksprofielen!K42,Achtergrondparameters!$B$20=Verbruiksprofielen!$A$49,Verbruiksprofielen!K64,Achtergrondparameters!$B$20=Verbruiksprofielen!$A$71,Verbruiksprofielen!K86,Achtergrondparameters!$B$20=Verbruiksprofielen!$A$93,Verbruiksprofielen!K108,Achtergrondparameters!$B$20=Verbruiksprofielen!$A$115,Verbruiksprofielen!K130,Achtergrondparameters!$B$20=Verbruiksprofielen!$A$136,Verbruiksprofielen!K151,Achtergrondparameters!$B$20=Verbruiksprofielen!$A$157,Verbruiksprofielen!K172)</f>
        <v>3.2000000000000001E-2</v>
      </c>
      <c r="J54" s="50" cm="1">
        <f t="array" ref="J54">_xlfn.IFS($B$20=Verbruiksprofielen!$A$5,Verbruiksprofielen!L20,Achtergrondparameters!$B$20=Verbruiksprofielen!$A$27,Verbruiksprofielen!L42,Achtergrondparameters!$B$20=Verbruiksprofielen!$A$49,Verbruiksprofielen!L64,Achtergrondparameters!$B$20=Verbruiksprofielen!$A$71,Verbruiksprofielen!L86,Achtergrondparameters!$B$20=Verbruiksprofielen!$A$93,Verbruiksprofielen!L108,Achtergrondparameters!$B$20=Verbruiksprofielen!$A$115,Verbruiksprofielen!L130,Achtergrondparameters!$B$20=Verbruiksprofielen!$A$136,Verbruiksprofielen!L151,Achtergrondparameters!$B$20=Verbruiksprofielen!$A$157,Verbruiksprofielen!L172)</f>
        <v>3.2000000000000001E-2</v>
      </c>
      <c r="K54" s="50" cm="1">
        <f t="array" ref="K54">_xlfn.IFS($B$20=Verbruiksprofielen!$A$5,Verbruiksprofielen!M20,Achtergrondparameters!$B$20=Verbruiksprofielen!$A$27,Verbruiksprofielen!M42,Achtergrondparameters!$B$20=Verbruiksprofielen!$A$49,Verbruiksprofielen!M64,Achtergrondparameters!$B$20=Verbruiksprofielen!$A$71,Verbruiksprofielen!M86,Achtergrondparameters!$B$20=Verbruiksprofielen!$A$93,Verbruiksprofielen!M108,Achtergrondparameters!$B$20=Verbruiksprofielen!$A$115,Verbruiksprofielen!M130,Achtergrondparameters!$B$20=Verbruiksprofielen!$A$136,Verbruiksprofielen!M151,Achtergrondparameters!$B$20=Verbruiksprofielen!$A$157,Verbruiksprofielen!M172)</f>
        <v>3.2000000000000001E-2</v>
      </c>
      <c r="L54" s="50" cm="1">
        <f t="array" ref="L54">_xlfn.IFS($B$20=Verbruiksprofielen!$A$5,Verbruiksprofielen!N20,Achtergrondparameters!$B$20=Verbruiksprofielen!$A$27,Verbruiksprofielen!N42,Achtergrondparameters!$B$20=Verbruiksprofielen!$A$49,Verbruiksprofielen!N64,Achtergrondparameters!$B$20=Verbruiksprofielen!$A$71,Verbruiksprofielen!N86,Achtergrondparameters!$B$20=Verbruiksprofielen!$A$93,Verbruiksprofielen!N108,Achtergrondparameters!$B$20=Verbruiksprofielen!$A$115,Verbruiksprofielen!N130,Achtergrondparameters!$B$20=Verbruiksprofielen!$A$136,Verbruiksprofielen!N151,Achtergrondparameters!$B$20=Verbruiksprofielen!$A$157,Verbruiksprofielen!N172)</f>
        <v>3.2000000000000001E-2</v>
      </c>
      <c r="M54" s="50" cm="1">
        <f t="array" ref="M54">_xlfn.IFS($B$20=Verbruiksprofielen!$A$5,Verbruiksprofielen!O20,Achtergrondparameters!$B$20=Verbruiksprofielen!$A$27,Verbruiksprofielen!O42,Achtergrondparameters!$B$20=Verbruiksprofielen!$A$49,Verbruiksprofielen!O64,Achtergrondparameters!$B$20=Verbruiksprofielen!$A$71,Verbruiksprofielen!O86,Achtergrondparameters!$B$20=Verbruiksprofielen!$A$93,Verbruiksprofielen!O108,Achtergrondparameters!$B$20=Verbruiksprofielen!$A$115,Verbruiksprofielen!O130,Achtergrondparameters!$B$20=Verbruiksprofielen!$A$136,Verbruiksprofielen!O151,Achtergrondparameters!$B$20=Verbruiksprofielen!$A$157,Verbruiksprofielen!O172)</f>
        <v>3.2000000000000001E-2</v>
      </c>
      <c r="N54" s="50" cm="1">
        <f t="array" ref="N54">_xlfn.IFS($B$20=Verbruiksprofielen!$A$5,Verbruiksprofielen!P20,Achtergrondparameters!$B$20=Verbruiksprofielen!$A$27,Verbruiksprofielen!P42,Achtergrondparameters!$B$20=Verbruiksprofielen!$A$49,Verbruiksprofielen!P64,Achtergrondparameters!$B$20=Verbruiksprofielen!$A$71,Verbruiksprofielen!P86,Achtergrondparameters!$B$20=Verbruiksprofielen!$A$93,Verbruiksprofielen!P108,Achtergrondparameters!$B$20=Verbruiksprofielen!$A$115,Verbruiksprofielen!P130,Achtergrondparameters!$B$20=Verbruiksprofielen!$A$136,Verbruiksprofielen!P151,Achtergrondparameters!$B$20=Verbruiksprofielen!$A$157,Verbruiksprofielen!P172)</f>
        <v>3.2000000000000001E-2</v>
      </c>
      <c r="O54" s="50" cm="1">
        <f t="array" ref="O54">_xlfn.IFS($B$20=Verbruiksprofielen!$A$5,Verbruiksprofielen!Q20,Achtergrondparameters!$B$20=Verbruiksprofielen!$A$27,Verbruiksprofielen!Q42,Achtergrondparameters!$B$20=Verbruiksprofielen!$A$49,Verbruiksprofielen!Q64,Achtergrondparameters!$B$20=Verbruiksprofielen!$A$71,Verbruiksprofielen!Q86,Achtergrondparameters!$B$20=Verbruiksprofielen!$A$93,Verbruiksprofielen!Q108,Achtergrondparameters!$B$20=Verbruiksprofielen!$A$115,Verbruiksprofielen!Q130,Achtergrondparameters!$B$20=Verbruiksprofielen!$A$136,Verbruiksprofielen!Q151,Achtergrondparameters!$B$20=Verbruiksprofielen!$A$157,Verbruiksprofielen!Q172)</f>
        <v>3.2000000000000001E-2</v>
      </c>
      <c r="P54" s="50" cm="1">
        <f t="array" ref="P54">_xlfn.IFS($B$20=Verbruiksprofielen!$A$5,Verbruiksprofielen!R20,Achtergrondparameters!$B$20=Verbruiksprofielen!$A$27,Verbruiksprofielen!R42,Achtergrondparameters!$B$20=Verbruiksprofielen!$A$49,Verbruiksprofielen!R64,Achtergrondparameters!$B$20=Verbruiksprofielen!$A$71,Verbruiksprofielen!R86,Achtergrondparameters!$B$20=Verbruiksprofielen!$A$93,Verbruiksprofielen!R108,Achtergrondparameters!$B$20=Verbruiksprofielen!$A$115,Verbruiksprofielen!R130,Achtergrondparameters!$B$20=Verbruiksprofielen!$A$136,Verbruiksprofielen!R151,Achtergrondparameters!$B$20=Verbruiksprofielen!$A$157,Verbruiksprofielen!R172)</f>
        <v>3.2000000000000001E-2</v>
      </c>
      <c r="Q54" s="50" cm="1">
        <f t="array" ref="Q54">_xlfn.IFS($B$20=Verbruiksprofielen!$A$5,Verbruiksprofielen!S20,Achtergrondparameters!$B$20=Verbruiksprofielen!$A$27,Verbruiksprofielen!S42,Achtergrondparameters!$B$20=Verbruiksprofielen!$A$49,Verbruiksprofielen!S64,Achtergrondparameters!$B$20=Verbruiksprofielen!$A$71,Verbruiksprofielen!S86,Achtergrondparameters!$B$20=Verbruiksprofielen!$A$93,Verbruiksprofielen!S108,Achtergrondparameters!$B$20=Verbruiksprofielen!$A$115,Verbruiksprofielen!S130,Achtergrondparameters!$B$20=Verbruiksprofielen!$A$136,Verbruiksprofielen!S151,Achtergrondparameters!$B$20=Verbruiksprofielen!$A$157,Verbruiksprofielen!S172)</f>
        <v>3.2000000000000001E-2</v>
      </c>
      <c r="R54" s="50" cm="1">
        <f t="array" ref="R54">_xlfn.IFS($B$20=Verbruiksprofielen!$A$5,Verbruiksprofielen!T20,Achtergrondparameters!$B$20=Verbruiksprofielen!$A$27,Verbruiksprofielen!T42,Achtergrondparameters!$B$20=Verbruiksprofielen!$A$49,Verbruiksprofielen!T64,Achtergrondparameters!$B$20=Verbruiksprofielen!$A$71,Verbruiksprofielen!T86,Achtergrondparameters!$B$20=Verbruiksprofielen!$A$93,Verbruiksprofielen!T108,Achtergrondparameters!$B$20=Verbruiksprofielen!$A$115,Verbruiksprofielen!T130,Achtergrondparameters!$B$20=Verbruiksprofielen!$A$136,Verbruiksprofielen!T151,Achtergrondparameters!$B$20=Verbruiksprofielen!$A$157,Verbruiksprofielen!T172)</f>
        <v>3.2000000000000001E-2</v>
      </c>
      <c r="S54" s="50" cm="1">
        <f t="array" ref="S54">_xlfn.IFS($B$20=Verbruiksprofielen!$A$5,Verbruiksprofielen!U20,Achtergrondparameters!$B$20=Verbruiksprofielen!$A$27,Verbruiksprofielen!U42,Achtergrondparameters!$B$20=Verbruiksprofielen!$A$49,Verbruiksprofielen!U64,Achtergrondparameters!$B$20=Verbruiksprofielen!$A$71,Verbruiksprofielen!U86,Achtergrondparameters!$B$20=Verbruiksprofielen!$A$93,Verbruiksprofielen!U108,Achtergrondparameters!$B$20=Verbruiksprofielen!$A$115,Verbruiksprofielen!U130,Achtergrondparameters!$B$20=Verbruiksprofielen!$A$136,Verbruiksprofielen!U151,Achtergrondparameters!$B$20=Verbruiksprofielen!$A$157,Verbruiksprofielen!U172)</f>
        <v>3.2000000000000001E-2</v>
      </c>
      <c r="T54" s="50" cm="1">
        <f t="array" ref="T54">_xlfn.IFS($B$20=Verbruiksprofielen!$A$5,Verbruiksprofielen!V20,Achtergrondparameters!$B$20=Verbruiksprofielen!$A$27,Verbruiksprofielen!V42,Achtergrondparameters!$B$20=Verbruiksprofielen!$A$49,Verbruiksprofielen!V64,Achtergrondparameters!$B$20=Verbruiksprofielen!$A$71,Verbruiksprofielen!V86,Achtergrondparameters!$B$20=Verbruiksprofielen!$A$93,Verbruiksprofielen!V108,Achtergrondparameters!$B$20=Verbruiksprofielen!$A$115,Verbruiksprofielen!V130,Achtergrondparameters!$B$20=Verbruiksprofielen!$A$136,Verbruiksprofielen!V151,Achtergrondparameters!$B$20=Verbruiksprofielen!$A$157,Verbruiksprofielen!V172)</f>
        <v>3.2000000000000001E-2</v>
      </c>
      <c r="U54" s="50" cm="1">
        <f t="array" ref="U54">_xlfn.IFS($B$20=Verbruiksprofielen!$A$5,Verbruiksprofielen!W20,Achtergrondparameters!$B$20=Verbruiksprofielen!$A$27,Verbruiksprofielen!W42,Achtergrondparameters!$B$20=Verbruiksprofielen!$A$49,Verbruiksprofielen!W64,Achtergrondparameters!$B$20=Verbruiksprofielen!$A$71,Verbruiksprofielen!W86,Achtergrondparameters!$B$20=Verbruiksprofielen!$A$93,Verbruiksprofielen!W108,Achtergrondparameters!$B$20=Verbruiksprofielen!$A$115,Verbruiksprofielen!W130,Achtergrondparameters!$B$20=Verbruiksprofielen!$A$136,Verbruiksprofielen!W151,Achtergrondparameters!$B$20=Verbruiksprofielen!$A$157,Verbruiksprofielen!W172)</f>
        <v>3.2000000000000001E-2</v>
      </c>
      <c r="V54" s="50" cm="1">
        <f t="array" ref="V54">_xlfn.IFS($B$20=Verbruiksprofielen!$A$5,Verbruiksprofielen!X20,Achtergrondparameters!$B$20=Verbruiksprofielen!$A$27,Verbruiksprofielen!X42,Achtergrondparameters!$B$20=Verbruiksprofielen!$A$49,Verbruiksprofielen!X64,Achtergrondparameters!$B$20=Verbruiksprofielen!$A$71,Verbruiksprofielen!X86,Achtergrondparameters!$B$20=Verbruiksprofielen!$A$93,Verbruiksprofielen!X108,Achtergrondparameters!$B$20=Verbruiksprofielen!$A$115,Verbruiksprofielen!X130,Achtergrondparameters!$B$20=Verbruiksprofielen!$A$136,Verbruiksprofielen!X151,Achtergrondparameters!$B$20=Verbruiksprofielen!$A$157,Verbruiksprofielen!X172)</f>
        <v>3.2000000000000001E-2</v>
      </c>
      <c r="W54" s="50" cm="1">
        <f t="array" ref="W54">_xlfn.IFS($B$20=Verbruiksprofielen!$A$5,Verbruiksprofielen!Y20,Achtergrondparameters!$B$20=Verbruiksprofielen!$A$27,Verbruiksprofielen!Y42,Achtergrondparameters!$B$20=Verbruiksprofielen!$A$49,Verbruiksprofielen!Y64,Achtergrondparameters!$B$20=Verbruiksprofielen!$A$71,Verbruiksprofielen!Y86,Achtergrondparameters!$B$20=Verbruiksprofielen!$A$93,Verbruiksprofielen!Y108,Achtergrondparameters!$B$20=Verbruiksprofielen!$A$115,Verbruiksprofielen!Y130,Achtergrondparameters!$B$20=Verbruiksprofielen!$A$136,Verbruiksprofielen!Y151,Achtergrondparameters!$B$20=Verbruiksprofielen!$A$157,Verbruiksprofielen!Y172)</f>
        <v>3.2000000000000001E-2</v>
      </c>
      <c r="X54" s="50" cm="1">
        <f t="array" ref="X54">_xlfn.IFS($B$20=Verbruiksprofielen!$A$5,Verbruiksprofielen!Z20,Achtergrondparameters!$B$20=Verbruiksprofielen!$A$27,Verbruiksprofielen!Z42,Achtergrondparameters!$B$20=Verbruiksprofielen!$A$49,Verbruiksprofielen!Z64,Achtergrondparameters!$B$20=Verbruiksprofielen!$A$71,Verbruiksprofielen!Z86,Achtergrondparameters!$B$20=Verbruiksprofielen!$A$93,Verbruiksprofielen!Z108,Achtergrondparameters!$B$20=Verbruiksprofielen!$A$115,Verbruiksprofielen!Z130,Achtergrondparameters!$B$20=Verbruiksprofielen!$A$136,Verbruiksprofielen!Z151,Achtergrondparameters!$B$20=Verbruiksprofielen!$A$157,Verbruiksprofielen!Z172)</f>
        <v>3.2000000000000001E-2</v>
      </c>
      <c r="Y54" s="50" cm="1">
        <f t="array" ref="Y54">_xlfn.IFS($B$20=Verbruiksprofielen!$A$5,Verbruiksprofielen!AA20,Achtergrondparameters!$B$20=Verbruiksprofielen!$A$27,Verbruiksprofielen!AA42,Achtergrondparameters!$B$20=Verbruiksprofielen!$A$49,Verbruiksprofielen!AA64,Achtergrondparameters!$B$20=Verbruiksprofielen!$A$71,Verbruiksprofielen!AA86,Achtergrondparameters!$B$20=Verbruiksprofielen!$A$93,Verbruiksprofielen!AA108,Achtergrondparameters!$B$20=Verbruiksprofielen!$A$115,Verbruiksprofielen!AA130,Achtergrondparameters!$B$20=Verbruiksprofielen!$A$136,Verbruiksprofielen!AA151,Achtergrondparameters!$B$20=Verbruiksprofielen!$A$157,Verbruiksprofielen!AA172)</f>
        <v>3.2000000000000001E-2</v>
      </c>
      <c r="Z54" s="50" cm="1">
        <f t="array" ref="Z54">_xlfn.IFS($B$20=Verbruiksprofielen!$A$5,Verbruiksprofielen!AB20,Achtergrondparameters!$B$20=Verbruiksprofielen!$A$27,Verbruiksprofielen!AB42,Achtergrondparameters!$B$20=Verbruiksprofielen!$A$49,Verbruiksprofielen!AB64,Achtergrondparameters!$B$20=Verbruiksprofielen!$A$71,Verbruiksprofielen!AB86,Achtergrondparameters!$B$20=Verbruiksprofielen!$A$93,Verbruiksprofielen!AB108,Achtergrondparameters!$B$20=Verbruiksprofielen!$A$115,Verbruiksprofielen!AB130,Achtergrondparameters!$B$20=Verbruiksprofielen!$A$136,Verbruiksprofielen!AB151,Achtergrondparameters!$B$20=Verbruiksprofielen!$A$157,Verbruiksprofielen!AB172)</f>
        <v>3.2000000000000001E-2</v>
      </c>
      <c r="AA54" s="50" cm="1">
        <f t="array" ref="AA54">_xlfn.IFS($B$20=Verbruiksprofielen!$A$5,Verbruiksprofielen!AC20,Achtergrondparameters!$B$20=Verbruiksprofielen!$A$27,Verbruiksprofielen!AC42,Achtergrondparameters!$B$20=Verbruiksprofielen!$A$49,Verbruiksprofielen!AC64,Achtergrondparameters!$B$20=Verbruiksprofielen!$A$71,Verbruiksprofielen!AC86,Achtergrondparameters!$B$20=Verbruiksprofielen!$A$93,Verbruiksprofielen!AC108,Achtergrondparameters!$B$20=Verbruiksprofielen!$A$115,Verbruiksprofielen!AC130,Achtergrondparameters!$B$20=Verbruiksprofielen!$A$136,Verbruiksprofielen!AC151,Achtergrondparameters!$B$20=Verbruiksprofielen!$A$157,Verbruiksprofielen!AC172)</f>
        <v>3.2000000000000001E-2</v>
      </c>
      <c r="AB54" s="50" cm="1">
        <f t="array" ref="AB54">_xlfn.IFS($B$20=Verbruiksprofielen!$A$5,Verbruiksprofielen!AD20,Achtergrondparameters!$B$20=Verbruiksprofielen!$A$27,Verbruiksprofielen!AD42,Achtergrondparameters!$B$20=Verbruiksprofielen!$A$49,Verbruiksprofielen!AD64,Achtergrondparameters!$B$20=Verbruiksprofielen!$A$71,Verbruiksprofielen!AD86,Achtergrondparameters!$B$20=Verbruiksprofielen!$A$93,Verbruiksprofielen!AD108,Achtergrondparameters!$B$20=Verbruiksprofielen!$A$115,Verbruiksprofielen!AD130,Achtergrondparameters!$B$20=Verbruiksprofielen!$A$136,Verbruiksprofielen!AD151,Achtergrondparameters!$B$20=Verbruiksprofielen!$A$157,Verbruiksprofielen!AD172)</f>
        <v>3.2000000000000001E-2</v>
      </c>
      <c r="AC54" s="50" cm="1">
        <f t="array" ref="AC54">_xlfn.IFS($B$20=Verbruiksprofielen!$A$5,Verbruiksprofielen!AE20,Achtergrondparameters!$B$20=Verbruiksprofielen!$A$27,Verbruiksprofielen!AE42,Achtergrondparameters!$B$20=Verbruiksprofielen!$A$49,Verbruiksprofielen!AE64,Achtergrondparameters!$B$20=Verbruiksprofielen!$A$71,Verbruiksprofielen!AE86,Achtergrondparameters!$B$20=Verbruiksprofielen!$A$93,Verbruiksprofielen!AE108,Achtergrondparameters!$B$20=Verbruiksprofielen!$A$115,Verbruiksprofielen!AE130,Achtergrondparameters!$B$20=Verbruiksprofielen!$A$136,Verbruiksprofielen!AE151,Achtergrondparameters!$B$20=Verbruiksprofielen!$A$157,Verbruiksprofielen!AE172)</f>
        <v>3.2000000000000001E-2</v>
      </c>
      <c r="AD54" s="50" cm="1">
        <f t="array" ref="AD54">_xlfn.IFS($B$20=Verbruiksprofielen!$A$5,Verbruiksprofielen!AF20,Achtergrondparameters!$B$20=Verbruiksprofielen!$A$27,Verbruiksprofielen!AF42,Achtergrondparameters!$B$20=Verbruiksprofielen!$A$49,Verbruiksprofielen!AF64,Achtergrondparameters!$B$20=Verbruiksprofielen!$A$71,Verbruiksprofielen!AF86,Achtergrondparameters!$B$20=Verbruiksprofielen!$A$93,Verbruiksprofielen!AF108,Achtergrondparameters!$B$20=Verbruiksprofielen!$A$115,Verbruiksprofielen!AF130,Achtergrondparameters!$B$20=Verbruiksprofielen!$A$136,Verbruiksprofielen!AF151,Achtergrondparameters!$B$20=Verbruiksprofielen!$A$157,Verbruiksprofielen!AF172)</f>
        <v>3.2000000000000001E-2</v>
      </c>
      <c r="AE54" s="50" cm="1">
        <f t="array" ref="AE54">_xlfn.IFS($B$20=Verbruiksprofielen!$A$5,Verbruiksprofielen!AG20,Achtergrondparameters!$B$20=Verbruiksprofielen!$A$27,Verbruiksprofielen!AG42,Achtergrondparameters!$B$20=Verbruiksprofielen!$A$49,Verbruiksprofielen!AG64,Achtergrondparameters!$B$20=Verbruiksprofielen!$A$71,Verbruiksprofielen!AG86,Achtergrondparameters!$B$20=Verbruiksprofielen!$A$93,Verbruiksprofielen!AG108,Achtergrondparameters!$B$20=Verbruiksprofielen!$A$115,Verbruiksprofielen!AG130,Achtergrondparameters!$B$20=Verbruiksprofielen!$A$136,Verbruiksprofielen!AG151,Achtergrondparameters!$B$20=Verbruiksprofielen!$A$157,Verbruiksprofielen!AG172)</f>
        <v>3.2000000000000001E-2</v>
      </c>
      <c r="AF54" s="50" cm="1">
        <f t="array" ref="AF54">_xlfn.IFS($B$20=Verbruiksprofielen!$A$5,Verbruiksprofielen!AH20,Achtergrondparameters!$B$20=Verbruiksprofielen!$A$27,Verbruiksprofielen!AH42,Achtergrondparameters!$B$20=Verbruiksprofielen!$A$49,Verbruiksprofielen!AH64,Achtergrondparameters!$B$20=Verbruiksprofielen!$A$71,Verbruiksprofielen!AH86,Achtergrondparameters!$B$20=Verbruiksprofielen!$A$93,Verbruiksprofielen!AH108,Achtergrondparameters!$B$20=Verbruiksprofielen!$A$115,Verbruiksprofielen!AH130,Achtergrondparameters!$B$20=Verbruiksprofielen!$A$136,Verbruiksprofielen!AH151,Achtergrondparameters!$B$20=Verbruiksprofielen!$A$157,Verbruiksprofielen!AH172)</f>
        <v>3.2000000000000001E-2</v>
      </c>
    </row>
    <row r="55" spans="1:33" ht="14.25" customHeight="1" x14ac:dyDescent="0.2">
      <c r="A55" s="18" t="s">
        <v>166</v>
      </c>
      <c r="B55" s="33" t="s">
        <v>90</v>
      </c>
      <c r="C55" s="28">
        <f>19.4/1000</f>
        <v>1.9399999999999997E-2</v>
      </c>
      <c r="D55" s="28">
        <f>C55*(1+Referentieparameters!$B$8)</f>
        <v>1.9787999999999997E-2</v>
      </c>
      <c r="E55" s="28">
        <f>D55*(1+Referentieparameters!$B$8)</f>
        <v>2.0183759999999999E-2</v>
      </c>
      <c r="F55" s="28">
        <f>E55*(1+Referentieparameters!$B$8)</f>
        <v>2.05874352E-2</v>
      </c>
      <c r="G55" s="28">
        <f>F55*(1+Referentieparameters!$B$8)</f>
        <v>2.0999183904000001E-2</v>
      </c>
      <c r="H55" s="28">
        <f>G55*(1+Referentieparameters!$B$8)</f>
        <v>2.1419167582080002E-2</v>
      </c>
      <c r="I55" s="28">
        <f>H55*(1+Referentieparameters!$B$8)</f>
        <v>2.18475509337216E-2</v>
      </c>
      <c r="J55" s="28">
        <f>I55*(1+Referentieparameters!$B$8)</f>
        <v>2.2284501952396032E-2</v>
      </c>
      <c r="K55" s="28">
        <f>J55*(1+Referentieparameters!$B$8)</f>
        <v>2.2730191991443952E-2</v>
      </c>
      <c r="L55" s="28">
        <f>K55*(1+Referentieparameters!$B$8)</f>
        <v>2.3184795831272829E-2</v>
      </c>
      <c r="M55" s="28">
        <f>L55*(1+Referentieparameters!$B$8)</f>
        <v>2.3648491747898286E-2</v>
      </c>
      <c r="N55" s="28">
        <f>M55*(1+Referentieparameters!$B$8)</f>
        <v>2.4121461582856253E-2</v>
      </c>
      <c r="O55" s="28">
        <f>N55*(1+Referentieparameters!$B$8)</f>
        <v>2.460389081451338E-2</v>
      </c>
      <c r="P55" s="28">
        <f>O55*(1+Referentieparameters!$B$8)</f>
        <v>2.5095968630803649E-2</v>
      </c>
      <c r="Q55" s="28">
        <f>P55*(1+Referentieparameters!$B$8)</f>
        <v>2.5597888003419722E-2</v>
      </c>
      <c r="R55" s="28">
        <f>Q55*(1+Referentieparameters!$B$8)</f>
        <v>2.6109845763488116E-2</v>
      </c>
      <c r="S55" s="28">
        <f>R55*(1+Referentieparameters!$B$8)</f>
        <v>2.6632042678757878E-2</v>
      </c>
      <c r="T55" s="28">
        <f>S55*(1+Referentieparameters!$B$8)</f>
        <v>2.7164683532333037E-2</v>
      </c>
      <c r="U55" s="28">
        <f>T55*(1+Referentieparameters!$B$8)</f>
        <v>2.7707977202979697E-2</v>
      </c>
      <c r="V55" s="28">
        <f>U55*(1+Referentieparameters!$B$8)</f>
        <v>2.8262136747039292E-2</v>
      </c>
      <c r="W55" s="28">
        <f>V55*(1+Referentieparameters!$B$8)</f>
        <v>2.8827379481980078E-2</v>
      </c>
      <c r="X55" s="28">
        <f>W55*(1+Referentieparameters!$B$8)</f>
        <v>2.9403927071619679E-2</v>
      </c>
      <c r="Y55" s="28">
        <f>X55*(1+Referentieparameters!$B$8)</f>
        <v>2.9992005613052073E-2</v>
      </c>
      <c r="Z55" s="28">
        <f>Y55*(1+Referentieparameters!$B$8)</f>
        <v>3.0591845725313115E-2</v>
      </c>
      <c r="AA55" s="28">
        <f>Z55*(1+Referentieparameters!$B$8)</f>
        <v>3.1203682639819378E-2</v>
      </c>
      <c r="AB55" s="28">
        <f>AA55*(1+Referentieparameters!$B$8)</f>
        <v>3.1827756292615764E-2</v>
      </c>
      <c r="AC55" s="28">
        <f>AB55*(1+Referentieparameters!$B$8)</f>
        <v>3.2464311418468082E-2</v>
      </c>
      <c r="AD55" s="28">
        <f>AC55*(1+Referentieparameters!$B$8)</f>
        <v>3.3113597646837446E-2</v>
      </c>
      <c r="AE55" s="28">
        <f>AD55*(1+Referentieparameters!$B$8)</f>
        <v>3.3775869599774196E-2</v>
      </c>
      <c r="AF55" s="28">
        <f>AE55*(1+Referentieparameters!$B$8)</f>
        <v>3.4451386991769681E-2</v>
      </c>
    </row>
    <row r="56" spans="1:33" ht="14.25" customHeight="1" x14ac:dyDescent="0.4">
      <c r="A56" s="236" t="str">
        <f>IF($B$20="MANUAL","ETS1/2-prijs","ETS2-prijs")</f>
        <v>ETS2-prijs</v>
      </c>
      <c r="B56" s="223" t="s">
        <v>167</v>
      </c>
      <c r="C56" s="35" cm="1">
        <f t="array" ref="C56">_xlfn.IFS($B$20=Verbruiksprofielen!$A$5,Verbruiksprofielen!E21,Achtergrondparameters!$B$20=Verbruiksprofielen!$A$27,Verbruiksprofielen!E43,Achtergrondparameters!$B$20=Verbruiksprofielen!$A$49,Verbruiksprofielen!E65,Achtergrondparameters!$B$20=Verbruiksprofielen!$A$71,Verbruiksprofielen!E87,Achtergrondparameters!$B$20=Verbruiksprofielen!$A$93,Verbruiksprofielen!E109,Achtergrondparameters!$B$20=Verbruiksprofielen!$A$115,Verbruiksprofielen!E131,Achtergrondparameters!$B$20=Verbruiksprofielen!$A$136,Verbruiksprofielen!E152,Achtergrondparameters!$B$20=Verbruiksprofielen!$A$157,Verbruiksprofielen!E173)</f>
        <v>0</v>
      </c>
      <c r="D56" s="35" cm="1">
        <f t="array" ref="D56">_xlfn.IFS($B$20=Verbruiksprofielen!$A$5,Verbruiksprofielen!F21,Achtergrondparameters!$B$20=Verbruiksprofielen!$A$27,Verbruiksprofielen!F43,Achtergrondparameters!$B$20=Verbruiksprofielen!$A$49,Verbruiksprofielen!F65,Achtergrondparameters!$B$20=Verbruiksprofielen!$A$71,Verbruiksprofielen!F87,Achtergrondparameters!$B$20=Verbruiksprofielen!$A$93,Verbruiksprofielen!F109,Achtergrondparameters!$B$20=Verbruiksprofielen!$A$115,Verbruiksprofielen!F131,Achtergrondparameters!$B$20=Verbruiksprofielen!$A$136,Verbruiksprofielen!F152,Achtergrondparameters!$B$20=Verbruiksprofielen!$A$157,Verbruiksprofielen!F173)</f>
        <v>0</v>
      </c>
      <c r="E56" s="35" cm="1">
        <f t="array" ref="E56">_xlfn.IFS($B$20=Verbruiksprofielen!$A$5,Verbruiksprofielen!G21,Achtergrondparameters!$B$20=Verbruiksprofielen!$A$27,Verbruiksprofielen!G43,Achtergrondparameters!$B$20=Verbruiksprofielen!$A$49,Verbruiksprofielen!G65,Achtergrondparameters!$B$20=Verbruiksprofielen!$A$71,Verbruiksprofielen!G87,Achtergrondparameters!$B$20=Verbruiksprofielen!$A$93,Verbruiksprofielen!G109,Achtergrondparameters!$B$20=Verbruiksprofielen!$A$115,Verbruiksprofielen!G131,Achtergrondparameters!$B$20=Verbruiksprofielen!$A$136,Verbruiksprofielen!G152,Achtergrondparameters!$B$20=Verbruiksprofielen!$A$157,Verbruiksprofielen!G173)</f>
        <v>0</v>
      </c>
      <c r="F56" s="35" cm="1">
        <f t="array" ref="F56">_xlfn.IFS($B$20=Verbruiksprofielen!$A$5,Verbruiksprofielen!H21,Achtergrondparameters!$B$20=Verbruiksprofielen!$A$27,Verbruiksprofielen!H43,Achtergrondparameters!$B$20=Verbruiksprofielen!$A$49,Verbruiksprofielen!H65,Achtergrondparameters!$B$20=Verbruiksprofielen!$A$71,Verbruiksprofielen!H87,Achtergrondparameters!$B$20=Verbruiksprofielen!$A$93,Verbruiksprofielen!H109,Achtergrondparameters!$B$20=Verbruiksprofielen!$A$115,Verbruiksprofielen!H131,Achtergrondparameters!$B$20=Verbruiksprofielen!$A$136,Verbruiksprofielen!H152,Achtergrondparameters!$B$20=Verbruiksprofielen!$A$157,Verbruiksprofielen!H173)</f>
        <v>1.3999999999995794E-2</v>
      </c>
      <c r="G56" s="35" cm="1">
        <f t="array" ref="G56">_xlfn.IFS($B$20=Verbruiksprofielen!$A$5,Verbruiksprofielen!I21,Achtergrondparameters!$B$20=Verbruiksprofielen!$A$27,Verbruiksprofielen!I43,Achtergrondparameters!$B$20=Verbruiksprofielen!$A$49,Verbruiksprofielen!I65,Achtergrondparameters!$B$20=Verbruiksprofielen!$A$71,Verbruiksprofielen!I87,Achtergrondparameters!$B$20=Verbruiksprofielen!$A$93,Verbruiksprofielen!I109,Achtergrondparameters!$B$20=Verbruiksprofielen!$A$115,Verbruiksprofielen!I131,Achtergrondparameters!$B$20=Verbruiksprofielen!$A$136,Verbruiksprofielen!I152,Achtergrondparameters!$B$20=Verbruiksprofielen!$A$157,Verbruiksprofielen!I173)</f>
        <v>2.9333333333330103E-2</v>
      </c>
      <c r="H56" s="35" cm="1">
        <f t="array" ref="H56">_xlfn.IFS($B$20=Verbruiksprofielen!$A$5,Verbruiksprofielen!J21,Achtergrondparameters!$B$20=Verbruiksprofielen!$A$27,Verbruiksprofielen!J43,Achtergrondparameters!$B$20=Verbruiksprofielen!$A$49,Verbruiksprofielen!J65,Achtergrondparameters!$B$20=Verbruiksprofielen!$A$71,Verbruiksprofielen!J87,Achtergrondparameters!$B$20=Verbruiksprofielen!$A$93,Verbruiksprofielen!J109,Achtergrondparameters!$B$20=Verbruiksprofielen!$A$115,Verbruiksprofielen!J131,Achtergrondparameters!$B$20=Verbruiksprofielen!$A$136,Verbruiksprofielen!J152,Achtergrondparameters!$B$20=Verbruiksprofielen!$A$157,Verbruiksprofielen!J173)</f>
        <v>4.4666666666664412E-2</v>
      </c>
      <c r="I56" s="35" cm="1">
        <f t="array" ref="I56">_xlfn.IFS($B$20=Verbruiksprofielen!$A$5,Verbruiksprofielen!K21,Achtergrondparameters!$B$20=Verbruiksprofielen!$A$27,Verbruiksprofielen!K43,Achtergrondparameters!$B$20=Verbruiksprofielen!$A$49,Verbruiksprofielen!K65,Achtergrondparameters!$B$20=Verbruiksprofielen!$A$71,Verbruiksprofielen!K87,Achtergrondparameters!$B$20=Verbruiksprofielen!$A$93,Verbruiksprofielen!K109,Achtergrondparameters!$B$20=Verbruiksprofielen!$A$115,Verbruiksprofielen!K131,Achtergrondparameters!$B$20=Verbruiksprofielen!$A$136,Verbruiksprofielen!K152,Achtergrondparameters!$B$20=Verbruiksprofielen!$A$157,Verbruiksprofielen!K173)</f>
        <v>5.9999999999998721E-2</v>
      </c>
      <c r="J56" s="35" cm="1">
        <f t="array" ref="J56">_xlfn.IFS($B$20=Verbruiksprofielen!$A$5,Verbruiksprofielen!L21,Achtergrondparameters!$B$20=Verbruiksprofielen!$A$27,Verbruiksprofielen!L43,Achtergrondparameters!$B$20=Verbruiksprofielen!$A$49,Verbruiksprofielen!L65,Achtergrondparameters!$B$20=Verbruiksprofielen!$A$71,Verbruiksprofielen!L87,Achtergrondparameters!$B$20=Verbruiksprofielen!$A$93,Verbruiksprofielen!L109,Achtergrondparameters!$B$20=Verbruiksprofielen!$A$115,Verbruiksprofielen!L131,Achtergrondparameters!$B$20=Verbruiksprofielen!$A$136,Verbruiksprofielen!L152,Achtergrondparameters!$B$20=Verbruiksprofielen!$A$157,Verbruiksprofielen!L173)</f>
        <v>7.5333333333329477E-2</v>
      </c>
      <c r="K56" s="35" cm="1">
        <f t="array" ref="K56">_xlfn.IFS($B$20=Verbruiksprofielen!$A$5,Verbruiksprofielen!M21,Achtergrondparameters!$B$20=Verbruiksprofielen!$A$27,Verbruiksprofielen!M43,Achtergrondparameters!$B$20=Verbruiksprofielen!$A$49,Verbruiksprofielen!M65,Achtergrondparameters!$B$20=Verbruiksprofielen!$A$71,Verbruiksprofielen!M87,Achtergrondparameters!$B$20=Verbruiksprofielen!$A$93,Verbruiksprofielen!M109,Achtergrondparameters!$B$20=Verbruiksprofielen!$A$115,Verbruiksprofielen!M131,Achtergrondparameters!$B$20=Verbruiksprofielen!$A$136,Verbruiksprofielen!M152,Achtergrondparameters!$B$20=Verbruiksprofielen!$A$157,Verbruiksprofielen!M173)</f>
        <v>9.0666666666663787E-2</v>
      </c>
      <c r="L56" s="35" cm="1">
        <f t="array" ref="L56">_xlfn.IFS($B$20=Verbruiksprofielen!$A$5,Verbruiksprofielen!N21,Achtergrondparameters!$B$20=Verbruiksprofielen!$A$27,Verbruiksprofielen!N43,Achtergrondparameters!$B$20=Verbruiksprofielen!$A$49,Verbruiksprofielen!N65,Achtergrondparameters!$B$20=Verbruiksprofielen!$A$71,Verbruiksprofielen!N87,Achtergrondparameters!$B$20=Verbruiksprofielen!$A$93,Verbruiksprofielen!N109,Achtergrondparameters!$B$20=Verbruiksprofielen!$A$115,Verbruiksprofielen!N131,Achtergrondparameters!$B$20=Verbruiksprofielen!$A$136,Verbruiksprofielen!N152,Achtergrondparameters!$B$20=Verbruiksprofielen!$A$157,Verbruiksprofielen!N173)</f>
        <v>0.1059999999999981</v>
      </c>
      <c r="M56" s="35" cm="1">
        <f t="array" ref="M56">_xlfn.IFS($B$20=Verbruiksprofielen!$A$5,Verbruiksprofielen!O21,Achtergrondparameters!$B$20=Verbruiksprofielen!$A$27,Verbruiksprofielen!O43,Achtergrondparameters!$B$20=Verbruiksprofielen!$A$49,Verbruiksprofielen!O65,Achtergrondparameters!$B$20=Verbruiksprofielen!$A$71,Verbruiksprofielen!O87,Achtergrondparameters!$B$20=Verbruiksprofielen!$A$93,Verbruiksprofielen!O109,Achtergrondparameters!$B$20=Verbruiksprofielen!$A$115,Verbruiksprofielen!O131,Achtergrondparameters!$B$20=Verbruiksprofielen!$A$136,Verbruiksprofielen!O152,Achtergrondparameters!$B$20=Verbruiksprofielen!$A$157,Verbruiksprofielen!O173)</f>
        <v>0.1213333333333324</v>
      </c>
      <c r="N56" s="35" cm="1">
        <f t="array" ref="N56">_xlfn.IFS($B$20=Verbruiksprofielen!$A$5,Verbruiksprofielen!P21,Achtergrondparameters!$B$20=Verbruiksprofielen!$A$27,Verbruiksprofielen!P43,Achtergrondparameters!$B$20=Verbruiksprofielen!$A$49,Verbruiksprofielen!P65,Achtergrondparameters!$B$20=Verbruiksprofielen!$A$71,Verbruiksprofielen!P87,Achtergrondparameters!$B$20=Verbruiksprofielen!$A$93,Verbruiksprofielen!P109,Achtergrondparameters!$B$20=Verbruiksprofielen!$A$115,Verbruiksprofielen!P131,Achtergrondparameters!$B$20=Verbruiksprofielen!$A$136,Verbruiksprofielen!P152,Achtergrondparameters!$B$20=Verbruiksprofielen!$A$157,Verbruiksprofielen!P173)</f>
        <v>0.13666666666666316</v>
      </c>
      <c r="O56" s="35" cm="1">
        <f t="array" ref="O56">_xlfn.IFS($B$20=Verbruiksprofielen!$A$5,Verbruiksprofielen!Q21,Achtergrondparameters!$B$20=Verbruiksprofielen!$A$27,Verbruiksprofielen!Q43,Achtergrondparameters!$B$20=Verbruiksprofielen!$A$49,Verbruiksprofielen!Q65,Achtergrondparameters!$B$20=Verbruiksprofielen!$A$71,Verbruiksprofielen!Q87,Achtergrondparameters!$B$20=Verbruiksprofielen!$A$93,Verbruiksprofielen!Q109,Achtergrondparameters!$B$20=Verbruiksprofielen!$A$115,Verbruiksprofielen!Q131,Achtergrondparameters!$B$20=Verbruiksprofielen!$A$136,Verbruiksprofielen!Q152,Achtergrondparameters!$B$20=Verbruiksprofielen!$A$157,Verbruiksprofielen!Q173)</f>
        <v>0.15199999999999747</v>
      </c>
      <c r="P56" s="35" cm="1">
        <f t="array" ref="P56">_xlfn.IFS($B$20=Verbruiksprofielen!$A$5,Verbruiksprofielen!R21,Achtergrondparameters!$B$20=Verbruiksprofielen!$A$27,Verbruiksprofielen!R43,Achtergrondparameters!$B$20=Verbruiksprofielen!$A$49,Verbruiksprofielen!R65,Achtergrondparameters!$B$20=Verbruiksprofielen!$A$71,Verbruiksprofielen!R87,Achtergrondparameters!$B$20=Verbruiksprofielen!$A$93,Verbruiksprofielen!R109,Achtergrondparameters!$B$20=Verbruiksprofielen!$A$115,Verbruiksprofielen!R131,Achtergrondparameters!$B$20=Verbruiksprofielen!$A$136,Verbruiksprofielen!R152,Achtergrondparameters!$B$20=Verbruiksprofielen!$A$157,Verbruiksprofielen!R173)</f>
        <v>0.16733333333333178</v>
      </c>
      <c r="Q56" s="35" cm="1">
        <f t="array" ref="Q56">_xlfn.IFS($B$20=Verbruiksprofielen!$A$5,Verbruiksprofielen!S21,Achtergrondparameters!$B$20=Verbruiksprofielen!$A$27,Verbruiksprofielen!S43,Achtergrondparameters!$B$20=Verbruiksprofielen!$A$49,Verbruiksprofielen!S65,Achtergrondparameters!$B$20=Verbruiksprofielen!$A$71,Verbruiksprofielen!S87,Achtergrondparameters!$B$20=Verbruiksprofielen!$A$93,Verbruiksprofielen!S109,Achtergrondparameters!$B$20=Verbruiksprofielen!$A$115,Verbruiksprofielen!S131,Achtergrondparameters!$B$20=Verbruiksprofielen!$A$136,Verbruiksprofielen!S152,Achtergrondparameters!$B$20=Verbruiksprofielen!$A$157,Verbruiksprofielen!S173)</f>
        <v>0.18266666666666254</v>
      </c>
      <c r="R56" s="35" cm="1">
        <f t="array" ref="R56">_xlfn.IFS($B$20=Verbruiksprofielen!$A$5,Verbruiksprofielen!T21,Achtergrondparameters!$B$20=Verbruiksprofielen!$A$27,Verbruiksprofielen!T43,Achtergrondparameters!$B$20=Verbruiksprofielen!$A$49,Verbruiksprofielen!T65,Achtergrondparameters!$B$20=Verbruiksprofielen!$A$71,Verbruiksprofielen!T87,Achtergrondparameters!$B$20=Verbruiksprofielen!$A$93,Verbruiksprofielen!T109,Achtergrondparameters!$B$20=Verbruiksprofielen!$A$115,Verbruiksprofielen!T131,Achtergrondparameters!$B$20=Verbruiksprofielen!$A$136,Verbruiksprofielen!T152,Achtergrondparameters!$B$20=Verbruiksprofielen!$A$157,Verbruiksprofielen!T173)</f>
        <v>0.19799999999999685</v>
      </c>
      <c r="S56" s="35" cm="1">
        <f t="array" ref="S56">_xlfn.IFS($B$20=Verbruiksprofielen!$A$5,Verbruiksprofielen!U21,Achtergrondparameters!$B$20=Verbruiksprofielen!$A$27,Verbruiksprofielen!U43,Achtergrondparameters!$B$20=Verbruiksprofielen!$A$49,Verbruiksprofielen!U65,Achtergrondparameters!$B$20=Verbruiksprofielen!$A$71,Verbruiksprofielen!U87,Achtergrondparameters!$B$20=Verbruiksprofielen!$A$93,Verbruiksprofielen!U109,Achtergrondparameters!$B$20=Verbruiksprofielen!$A$115,Verbruiksprofielen!U131,Achtergrondparameters!$B$20=Verbruiksprofielen!$A$136,Verbruiksprofielen!U152,Achtergrondparameters!$B$20=Verbruiksprofielen!$A$157,Verbruiksprofielen!U173)</f>
        <v>0.21333333333333115</v>
      </c>
      <c r="T56" s="35" cm="1">
        <f t="array" ref="T56">_xlfn.IFS($B$20=Verbruiksprofielen!$A$5,Verbruiksprofielen!V21,Achtergrondparameters!$B$20=Verbruiksprofielen!$A$27,Verbruiksprofielen!V43,Achtergrondparameters!$B$20=Verbruiksprofielen!$A$49,Verbruiksprofielen!V65,Achtergrondparameters!$B$20=Verbruiksprofielen!$A$71,Verbruiksprofielen!V87,Achtergrondparameters!$B$20=Verbruiksprofielen!$A$93,Verbruiksprofielen!V109,Achtergrondparameters!$B$20=Verbruiksprofielen!$A$115,Verbruiksprofielen!V131,Achtergrondparameters!$B$20=Verbruiksprofielen!$A$136,Verbruiksprofielen!V152,Achtergrondparameters!$B$20=Verbruiksprofielen!$A$157,Verbruiksprofielen!V173)</f>
        <v>0.22866666666666546</v>
      </c>
      <c r="U56" s="35" cm="1">
        <f t="array" ref="U56">_xlfn.IFS($B$20=Verbruiksprofielen!$A$5,Verbruiksprofielen!W21,Achtergrondparameters!$B$20=Verbruiksprofielen!$A$27,Verbruiksprofielen!W43,Achtergrondparameters!$B$20=Verbruiksprofielen!$A$49,Verbruiksprofielen!W65,Achtergrondparameters!$B$20=Verbruiksprofielen!$A$71,Verbruiksprofielen!W87,Achtergrondparameters!$B$20=Verbruiksprofielen!$A$93,Verbruiksprofielen!W109,Achtergrondparameters!$B$20=Verbruiksprofielen!$A$115,Verbruiksprofielen!W131,Achtergrondparameters!$B$20=Verbruiksprofielen!$A$136,Verbruiksprofielen!W152,Achtergrondparameters!$B$20=Verbruiksprofielen!$A$157,Verbruiksprofielen!W173)</f>
        <v>0.24399999999999622</v>
      </c>
      <c r="V56" s="35" cm="1">
        <f t="array" ref="V56">_xlfn.IFS($B$20=Verbruiksprofielen!$A$5,Verbruiksprofielen!X21,Achtergrondparameters!$B$20=Verbruiksprofielen!$A$27,Verbruiksprofielen!X43,Achtergrondparameters!$B$20=Verbruiksprofielen!$A$49,Verbruiksprofielen!X65,Achtergrondparameters!$B$20=Verbruiksprofielen!$A$71,Verbruiksprofielen!X87,Achtergrondparameters!$B$20=Verbruiksprofielen!$A$93,Verbruiksprofielen!X109,Achtergrondparameters!$B$20=Verbruiksprofielen!$A$115,Verbruiksprofielen!X131,Achtergrondparameters!$B$20=Verbruiksprofielen!$A$136,Verbruiksprofielen!X152,Achtergrondparameters!$B$20=Verbruiksprofielen!$A$157,Verbruiksprofielen!X173)</f>
        <v>0.25933333333333053</v>
      </c>
      <c r="W56" s="35" cm="1">
        <f t="array" ref="W56">_xlfn.IFS($B$20=Verbruiksprofielen!$A$5,Verbruiksprofielen!Y21,Achtergrondparameters!$B$20=Verbruiksprofielen!$A$27,Verbruiksprofielen!Y43,Achtergrondparameters!$B$20=Verbruiksprofielen!$A$49,Verbruiksprofielen!Y65,Achtergrondparameters!$B$20=Verbruiksprofielen!$A$71,Verbruiksprofielen!Y87,Achtergrondparameters!$B$20=Verbruiksprofielen!$A$93,Verbruiksprofielen!Y109,Achtergrondparameters!$B$20=Verbruiksprofielen!$A$115,Verbruiksprofielen!Y131,Achtergrondparameters!$B$20=Verbruiksprofielen!$A$136,Verbruiksprofielen!Y152,Achtergrondparameters!$B$20=Verbruiksprofielen!$A$157,Verbruiksprofielen!Y173)</f>
        <v>0.27466666666666484</v>
      </c>
      <c r="X56" s="35" cm="1">
        <f t="array" ref="X56">_xlfn.IFS($B$20=Verbruiksprofielen!$A$5,Verbruiksprofielen!Z21,Achtergrondparameters!$B$20=Verbruiksprofielen!$A$27,Verbruiksprofielen!Z43,Achtergrondparameters!$B$20=Verbruiksprofielen!$A$49,Verbruiksprofielen!Z65,Achtergrondparameters!$B$20=Verbruiksprofielen!$A$71,Verbruiksprofielen!Z87,Achtergrondparameters!$B$20=Verbruiksprofielen!$A$93,Verbruiksprofielen!Z109,Achtergrondparameters!$B$20=Verbruiksprofielen!$A$115,Verbruiksprofielen!Z131,Achtergrondparameters!$B$20=Verbruiksprofielen!$A$136,Verbruiksprofielen!Z152,Achtergrondparameters!$B$20=Verbruiksprofielen!$A$157,Verbruiksprofielen!Z173)</f>
        <v>0.28999999999999915</v>
      </c>
      <c r="Y56" s="35" cm="1">
        <f t="array" ref="Y56">_xlfn.IFS($B$20=Verbruiksprofielen!$A$5,Verbruiksprofielen!AA21,Achtergrondparameters!$B$20=Verbruiksprofielen!$A$27,Verbruiksprofielen!AA43,Achtergrondparameters!$B$20=Verbruiksprofielen!$A$49,Verbruiksprofielen!AA65,Achtergrondparameters!$B$20=Verbruiksprofielen!$A$71,Verbruiksprofielen!AA87,Achtergrondparameters!$B$20=Verbruiksprofielen!$A$93,Verbruiksprofielen!AA109,Achtergrondparameters!$B$20=Verbruiksprofielen!$A$115,Verbruiksprofielen!AA131,Achtergrondparameters!$B$20=Verbruiksprofielen!$A$136,Verbruiksprofielen!AA152,Achtergrondparameters!$B$20=Verbruiksprofielen!$A$157,Verbruiksprofielen!AA173)</f>
        <v>0.3053333333333299</v>
      </c>
      <c r="Z56" s="35" cm="1">
        <f t="array" ref="Z56">_xlfn.IFS($B$20=Verbruiksprofielen!$A$5,Verbruiksprofielen!AB21,Achtergrondparameters!$B$20=Verbruiksprofielen!$A$27,Verbruiksprofielen!AB43,Achtergrondparameters!$B$20=Verbruiksprofielen!$A$49,Verbruiksprofielen!AB65,Achtergrondparameters!$B$20=Verbruiksprofielen!$A$71,Verbruiksprofielen!AB87,Achtergrondparameters!$B$20=Verbruiksprofielen!$A$93,Verbruiksprofielen!AB109,Achtergrondparameters!$B$20=Verbruiksprofielen!$A$115,Verbruiksprofielen!AB131,Achtergrondparameters!$B$20=Verbruiksprofielen!$A$136,Verbruiksprofielen!AB152,Achtergrondparameters!$B$20=Verbruiksprofielen!$A$157,Verbruiksprofielen!AB173)</f>
        <v>0.32066666666666421</v>
      </c>
      <c r="AA56" s="35" cm="1">
        <f t="array" ref="AA56">_xlfn.IFS($B$20=Verbruiksprofielen!$A$5,Verbruiksprofielen!AC21,Achtergrondparameters!$B$20=Verbruiksprofielen!$A$27,Verbruiksprofielen!AC43,Achtergrondparameters!$B$20=Verbruiksprofielen!$A$49,Verbruiksprofielen!AC65,Achtergrondparameters!$B$20=Verbruiksprofielen!$A$71,Verbruiksprofielen!AC87,Achtergrondparameters!$B$20=Verbruiksprofielen!$A$93,Verbruiksprofielen!AC109,Achtergrondparameters!$B$20=Verbruiksprofielen!$A$115,Verbruiksprofielen!AC131,Achtergrondparameters!$B$20=Verbruiksprofielen!$A$136,Verbruiksprofielen!AC152,Achtergrondparameters!$B$20=Verbruiksprofielen!$A$157,Verbruiksprofielen!AC173)</f>
        <v>0.33599999999999852</v>
      </c>
      <c r="AB56" s="35" cm="1">
        <f t="array" ref="AB56">_xlfn.IFS($B$20=Verbruiksprofielen!$A$5,Verbruiksprofielen!AD21,Achtergrondparameters!$B$20=Verbruiksprofielen!$A$27,Verbruiksprofielen!AD43,Achtergrondparameters!$B$20=Verbruiksprofielen!$A$49,Verbruiksprofielen!AD65,Achtergrondparameters!$B$20=Verbruiksprofielen!$A$71,Verbruiksprofielen!AD87,Achtergrondparameters!$B$20=Verbruiksprofielen!$A$93,Verbruiksprofielen!AD109,Achtergrondparameters!$B$20=Verbruiksprofielen!$A$115,Verbruiksprofielen!AD131,Achtergrondparameters!$B$20=Verbruiksprofielen!$A$136,Verbruiksprofielen!AD152,Achtergrondparameters!$B$20=Verbruiksprofielen!$A$157,Verbruiksprofielen!AD173)</f>
        <v>0.06</v>
      </c>
      <c r="AC56" s="35" cm="1">
        <f t="array" ref="AC56">_xlfn.IFS($B$20=Verbruiksprofielen!$A$5,Verbruiksprofielen!AE21,Achtergrondparameters!$B$20=Verbruiksprofielen!$A$27,Verbruiksprofielen!AE43,Achtergrondparameters!$B$20=Verbruiksprofielen!$A$49,Verbruiksprofielen!AE65,Achtergrondparameters!$B$20=Verbruiksprofielen!$A$71,Verbruiksprofielen!AE87,Achtergrondparameters!$B$20=Verbruiksprofielen!$A$93,Verbruiksprofielen!AE109,Achtergrondparameters!$B$20=Verbruiksprofielen!$A$115,Verbruiksprofielen!AE131,Achtergrondparameters!$B$20=Verbruiksprofielen!$A$136,Verbruiksprofielen!AE152,Achtergrondparameters!$B$20=Verbruiksprofielen!$A$157,Verbruiksprofielen!AE173)</f>
        <v>0.06</v>
      </c>
      <c r="AD56" s="35" cm="1">
        <f t="array" ref="AD56">_xlfn.IFS($B$20=Verbruiksprofielen!$A$5,Verbruiksprofielen!AF21,Achtergrondparameters!$B$20=Verbruiksprofielen!$A$27,Verbruiksprofielen!AF43,Achtergrondparameters!$B$20=Verbruiksprofielen!$A$49,Verbruiksprofielen!AF65,Achtergrondparameters!$B$20=Verbruiksprofielen!$A$71,Verbruiksprofielen!AF87,Achtergrondparameters!$B$20=Verbruiksprofielen!$A$93,Verbruiksprofielen!AF109,Achtergrondparameters!$B$20=Verbruiksprofielen!$A$115,Verbruiksprofielen!AF131,Achtergrondparameters!$B$20=Verbruiksprofielen!$A$136,Verbruiksprofielen!AF152,Achtergrondparameters!$B$20=Verbruiksprofielen!$A$157,Verbruiksprofielen!AF173)</f>
        <v>0.06</v>
      </c>
      <c r="AE56" s="35" cm="1">
        <f t="array" ref="AE56">_xlfn.IFS($B$20=Verbruiksprofielen!$A$5,Verbruiksprofielen!AG21,Achtergrondparameters!$B$20=Verbruiksprofielen!$A$27,Verbruiksprofielen!AG43,Achtergrondparameters!$B$20=Verbruiksprofielen!$A$49,Verbruiksprofielen!AG65,Achtergrondparameters!$B$20=Verbruiksprofielen!$A$71,Verbruiksprofielen!AG87,Achtergrondparameters!$B$20=Verbruiksprofielen!$A$93,Verbruiksprofielen!AG109,Achtergrondparameters!$B$20=Verbruiksprofielen!$A$115,Verbruiksprofielen!AG131,Achtergrondparameters!$B$20=Verbruiksprofielen!$A$136,Verbruiksprofielen!AG152,Achtergrondparameters!$B$20=Verbruiksprofielen!$A$157,Verbruiksprofielen!AG173)</f>
        <v>0.06</v>
      </c>
      <c r="AF56" s="35" cm="1">
        <f t="array" ref="AF56">_xlfn.IFS($B$20=Verbruiksprofielen!$A$5,Verbruiksprofielen!AH21,Achtergrondparameters!$B$20=Verbruiksprofielen!$A$27,Verbruiksprofielen!AH43,Achtergrondparameters!$B$20=Verbruiksprofielen!$A$49,Verbruiksprofielen!AH65,Achtergrondparameters!$B$20=Verbruiksprofielen!$A$71,Verbruiksprofielen!AH87,Achtergrondparameters!$B$20=Verbruiksprofielen!$A$93,Verbruiksprofielen!AH109,Achtergrondparameters!$B$20=Verbruiksprofielen!$A$115,Verbruiksprofielen!AH131,Achtergrondparameters!$B$20=Verbruiksprofielen!$A$136,Verbruiksprofielen!AH152,Achtergrondparameters!$B$20=Verbruiksprofielen!$A$157,Verbruiksprofielen!AH173)</f>
        <v>0.06</v>
      </c>
    </row>
    <row r="57" spans="1:33" ht="18" x14ac:dyDescent="0.2">
      <c r="A57" s="236" t="s">
        <v>175</v>
      </c>
      <c r="B57" s="33" t="s">
        <v>62</v>
      </c>
      <c r="C57" s="35" cm="1">
        <f t="array" ref="C57">_xlfn.IFS($B$20=Verbruiksprofielen!$A$5,Verbruiksprofielen!E22,Achtergrondparameters!$B$20=Verbruiksprofielen!$A$27,Verbruiksprofielen!E44,Achtergrondparameters!$B$20=Verbruiksprofielen!$A$49,Verbruiksprofielen!E66,Achtergrondparameters!$B$20=Verbruiksprofielen!$A$71,Verbruiksprofielen!E88,Achtergrondparameters!$B$20=Verbruiksprofielen!$A$93,Verbruiksprofielen!E110,Achtergrondparameters!$B$20=Verbruiksprofielen!$A$115,Verbruiksprofielen!E132,Achtergrondparameters!$B$20=Verbruiksprofielen!$A$136,Verbruiksprofielen!E153,Achtergrondparameters!$B$20=Verbruiksprofielen!$A$157,Verbruiksprofielen!E174)</f>
        <v>8.2572076721086615E-2</v>
      </c>
      <c r="D57" s="35" cm="1">
        <f t="array" ref="D57">_xlfn.IFS($B$20=Verbruiksprofielen!$A$5,Verbruiksprofielen!F22,Achtergrondparameters!$B$20=Verbruiksprofielen!$A$27,Verbruiksprofielen!F44,Achtergrondparameters!$B$20=Verbruiksprofielen!$A$49,Verbruiksprofielen!F66,Achtergrondparameters!$B$20=Verbruiksprofielen!$A$71,Verbruiksprofielen!F88,Achtergrondparameters!$B$20=Verbruiksprofielen!$A$93,Verbruiksprofielen!F110,Achtergrondparameters!$B$20=Verbruiksprofielen!$A$115,Verbruiksprofielen!F132,Achtergrondparameters!$B$20=Verbruiksprofielen!$A$136,Verbruiksprofielen!F153,Achtergrondparameters!$B$20=Verbruiksprofielen!$A$157,Verbruiksprofielen!F174)</f>
        <v>8.3705513168544868E-2</v>
      </c>
      <c r="E57" s="35" cm="1">
        <f t="array" ref="E57">_xlfn.IFS($B$20=Verbruiksprofielen!$A$5,Verbruiksprofielen!G22,Achtergrondparameters!$B$20=Verbruiksprofielen!$A$27,Verbruiksprofielen!G44,Achtergrondparameters!$B$20=Verbruiksprofielen!$A$49,Verbruiksprofielen!G66,Achtergrondparameters!$B$20=Verbruiksprofielen!$A$71,Verbruiksprofielen!G88,Achtergrondparameters!$B$20=Verbruiksprofielen!$A$93,Verbruiksprofielen!G110,Achtergrondparameters!$B$20=Verbruiksprofielen!$A$115,Verbruiksprofielen!G132,Achtergrondparameters!$B$20=Verbruiksprofielen!$A$136,Verbruiksprofielen!G153,Achtergrondparameters!$B$20=Verbruiksprofielen!$A$157,Verbruiksprofielen!G174)</f>
        <v>8.4838949616003134E-2</v>
      </c>
      <c r="F57" s="35" cm="1">
        <f t="array" ref="F57">_xlfn.IFS($B$20=Verbruiksprofielen!$A$5,Verbruiksprofielen!H22,Achtergrondparameters!$B$20=Verbruiksprofielen!$A$27,Verbruiksprofielen!H44,Achtergrondparameters!$B$20=Verbruiksprofielen!$A$49,Verbruiksprofielen!H66,Achtergrondparameters!$B$20=Verbruiksprofielen!$A$71,Verbruiksprofielen!H88,Achtergrondparameters!$B$20=Verbruiksprofielen!$A$93,Verbruiksprofielen!H110,Achtergrondparameters!$B$20=Verbruiksprofielen!$A$115,Verbruiksprofielen!H132,Achtergrondparameters!$B$20=Verbruiksprofielen!$A$136,Verbruiksprofielen!H153,Achtergrondparameters!$B$20=Verbruiksprofielen!$A$157,Verbruiksprofielen!H174)</f>
        <v>8.5972386063461387E-2</v>
      </c>
      <c r="G57" s="35" cm="1">
        <f t="array" ref="G57">_xlfn.IFS($B$20=Verbruiksprofielen!$A$5,Verbruiksprofielen!I22,Achtergrondparameters!$B$20=Verbruiksprofielen!$A$27,Verbruiksprofielen!I44,Achtergrondparameters!$B$20=Verbruiksprofielen!$A$49,Verbruiksprofielen!I66,Achtergrondparameters!$B$20=Verbruiksprofielen!$A$71,Verbruiksprofielen!I88,Achtergrondparameters!$B$20=Verbruiksprofielen!$A$93,Verbruiksprofielen!I110,Achtergrondparameters!$B$20=Verbruiksprofielen!$A$115,Verbruiksprofielen!I132,Achtergrondparameters!$B$20=Verbruiksprofielen!$A$136,Verbruiksprofielen!I153,Achtergrondparameters!$B$20=Verbruiksprofielen!$A$157,Verbruiksprofielen!I174)</f>
        <v>8.7105822510919653E-2</v>
      </c>
      <c r="H57" s="35" cm="1">
        <f t="array" ref="H57">_xlfn.IFS($B$20=Verbruiksprofielen!$A$5,Verbruiksprofielen!J22,Achtergrondparameters!$B$20=Verbruiksprofielen!$A$27,Verbruiksprofielen!J44,Achtergrondparameters!$B$20=Verbruiksprofielen!$A$49,Verbruiksprofielen!J66,Achtergrondparameters!$B$20=Verbruiksprofielen!$A$71,Verbruiksprofielen!J88,Achtergrondparameters!$B$20=Verbruiksprofielen!$A$93,Verbruiksprofielen!J110,Achtergrondparameters!$B$20=Verbruiksprofielen!$A$115,Verbruiksprofielen!J132,Achtergrondparameters!$B$20=Verbruiksprofielen!$A$136,Verbruiksprofielen!J153,Achtergrondparameters!$B$20=Verbruiksprofielen!$A$157,Verbruiksprofielen!J174)</f>
        <v>8.8239258958377906E-2</v>
      </c>
      <c r="I57" s="35" cm="1">
        <f t="array" ref="I57">_xlfn.IFS($B$20=Verbruiksprofielen!$A$5,Verbruiksprofielen!K22,Achtergrondparameters!$B$20=Verbruiksprofielen!$A$27,Verbruiksprofielen!K44,Achtergrondparameters!$B$20=Verbruiksprofielen!$A$49,Verbruiksprofielen!K66,Achtergrondparameters!$B$20=Verbruiksprofielen!$A$71,Verbruiksprofielen!K88,Achtergrondparameters!$B$20=Verbruiksprofielen!$A$93,Verbruiksprofielen!K110,Achtergrondparameters!$B$20=Verbruiksprofielen!$A$115,Verbruiksprofielen!K132,Achtergrondparameters!$B$20=Verbruiksprofielen!$A$136,Verbruiksprofielen!K153,Achtergrondparameters!$B$20=Verbruiksprofielen!$A$157,Verbruiksprofielen!K174)</f>
        <v>8.6800199100193209E-2</v>
      </c>
      <c r="J57" s="35" cm="1">
        <f t="array" ref="J57">_xlfn.IFS($B$20=Verbruiksprofielen!$A$5,Verbruiksprofielen!L22,Achtergrondparameters!$B$20=Verbruiksprofielen!$A$27,Verbruiksprofielen!L44,Achtergrondparameters!$B$20=Verbruiksprofielen!$A$49,Verbruiksprofielen!L66,Achtergrondparameters!$B$20=Verbruiksprofielen!$A$71,Verbruiksprofielen!L88,Achtergrondparameters!$B$20=Verbruiksprofielen!$A$93,Verbruiksprofielen!L110,Achtergrondparameters!$B$20=Verbruiksprofielen!$A$115,Verbruiksprofielen!L132,Achtergrondparameters!$B$20=Verbruiksprofielen!$A$136,Verbruiksprofielen!L153,Achtergrondparameters!$B$20=Verbruiksprofielen!$A$157,Verbruiksprofielen!L174)</f>
        <v>8.5361139242008513E-2</v>
      </c>
      <c r="K57" s="35" cm="1">
        <f t="array" ref="K57">_xlfn.IFS($B$20=Verbruiksprofielen!$A$5,Verbruiksprofielen!M22,Achtergrondparameters!$B$20=Verbruiksprofielen!$A$27,Verbruiksprofielen!M44,Achtergrondparameters!$B$20=Verbruiksprofielen!$A$49,Verbruiksprofielen!M66,Achtergrondparameters!$B$20=Verbruiksprofielen!$A$71,Verbruiksprofielen!M88,Achtergrondparameters!$B$20=Verbruiksprofielen!$A$93,Verbruiksprofielen!M110,Achtergrondparameters!$B$20=Verbruiksprofielen!$A$115,Verbruiksprofielen!M132,Achtergrondparameters!$B$20=Verbruiksprofielen!$A$136,Verbruiksprofielen!M153,Achtergrondparameters!$B$20=Verbruiksprofielen!$A$157,Verbruiksprofielen!M174)</f>
        <v>8.3922079383823817E-2</v>
      </c>
      <c r="L57" s="35" cm="1">
        <f t="array" ref="L57">_xlfn.IFS($B$20=Verbruiksprofielen!$A$5,Verbruiksprofielen!N22,Achtergrondparameters!$B$20=Verbruiksprofielen!$A$27,Verbruiksprofielen!N44,Achtergrondparameters!$B$20=Verbruiksprofielen!$A$49,Verbruiksprofielen!N66,Achtergrondparameters!$B$20=Verbruiksprofielen!$A$71,Verbruiksprofielen!N88,Achtergrondparameters!$B$20=Verbruiksprofielen!$A$93,Verbruiksprofielen!N110,Achtergrondparameters!$B$20=Verbruiksprofielen!$A$115,Verbruiksprofielen!N132,Achtergrondparameters!$B$20=Verbruiksprofielen!$A$136,Verbruiksprofielen!N153,Achtergrondparameters!$B$20=Verbruiksprofielen!$A$157,Verbruiksprofielen!N174)</f>
        <v>8.248301952563912E-2</v>
      </c>
      <c r="M57" s="35" cm="1">
        <f t="array" ref="M57">_xlfn.IFS($B$20=Verbruiksprofielen!$A$5,Verbruiksprofielen!O22,Achtergrondparameters!$B$20=Verbruiksprofielen!$A$27,Verbruiksprofielen!O44,Achtergrondparameters!$B$20=Verbruiksprofielen!$A$49,Verbruiksprofielen!O66,Achtergrondparameters!$B$20=Verbruiksprofielen!$A$71,Verbruiksprofielen!O88,Achtergrondparameters!$B$20=Verbruiksprofielen!$A$93,Verbruiksprofielen!O110,Achtergrondparameters!$B$20=Verbruiksprofielen!$A$115,Verbruiksprofielen!O132,Achtergrondparameters!$B$20=Verbruiksprofielen!$A$136,Verbruiksprofielen!O153,Achtergrondparameters!$B$20=Verbruiksprofielen!$A$157,Verbruiksprofielen!O174)</f>
        <v>8.1043959667454424E-2</v>
      </c>
      <c r="N57" s="35" cm="1">
        <f t="array" ref="N57">_xlfn.IFS($B$20=Verbruiksprofielen!$A$5,Verbruiksprofielen!P22,Achtergrondparameters!$B$20=Verbruiksprofielen!$A$27,Verbruiksprofielen!P44,Achtergrondparameters!$B$20=Verbruiksprofielen!$A$49,Verbruiksprofielen!P66,Achtergrondparameters!$B$20=Verbruiksprofielen!$A$71,Verbruiksprofielen!P88,Achtergrondparameters!$B$20=Verbruiksprofielen!$A$93,Verbruiksprofielen!P110,Achtergrondparameters!$B$20=Verbruiksprofielen!$A$115,Verbruiksprofielen!P132,Achtergrondparameters!$B$20=Verbruiksprofielen!$A$136,Verbruiksprofielen!P153,Achtergrondparameters!$B$20=Verbruiksprofielen!$A$157,Verbruiksprofielen!P174)</f>
        <v>8.0762561384206691E-2</v>
      </c>
      <c r="O57" s="35" cm="1">
        <f t="array" ref="O57">_xlfn.IFS($B$20=Verbruiksprofielen!$A$5,Verbruiksprofielen!Q22,Achtergrondparameters!$B$20=Verbruiksprofielen!$A$27,Verbruiksprofielen!Q44,Achtergrondparameters!$B$20=Verbruiksprofielen!$A$49,Verbruiksprofielen!Q66,Achtergrondparameters!$B$20=Verbruiksprofielen!$A$71,Verbruiksprofielen!Q88,Achtergrondparameters!$B$20=Verbruiksprofielen!$A$93,Verbruiksprofielen!Q110,Achtergrondparameters!$B$20=Verbruiksprofielen!$A$115,Verbruiksprofielen!Q132,Achtergrondparameters!$B$20=Verbruiksprofielen!$A$136,Verbruiksprofielen!Q153,Achtergrondparameters!$B$20=Verbruiksprofielen!$A$157,Verbruiksprofielen!Q174)</f>
        <v>8.0481163100958958E-2</v>
      </c>
      <c r="P57" s="35" cm="1">
        <f t="array" ref="P57">_xlfn.IFS($B$20=Verbruiksprofielen!$A$5,Verbruiksprofielen!R22,Achtergrondparameters!$B$20=Verbruiksprofielen!$A$27,Verbruiksprofielen!R44,Achtergrondparameters!$B$20=Verbruiksprofielen!$A$49,Verbruiksprofielen!R66,Achtergrondparameters!$B$20=Verbruiksprofielen!$A$71,Verbruiksprofielen!R88,Achtergrondparameters!$B$20=Verbruiksprofielen!$A$93,Verbruiksprofielen!R110,Achtergrondparameters!$B$20=Verbruiksprofielen!$A$115,Verbruiksprofielen!R132,Achtergrondparameters!$B$20=Verbruiksprofielen!$A$136,Verbruiksprofielen!R153,Achtergrondparameters!$B$20=Verbruiksprofielen!$A$157,Verbruiksprofielen!R174)</f>
        <v>8.0199764817711239E-2</v>
      </c>
      <c r="Q57" s="35" cm="1">
        <f t="array" ref="Q57">_xlfn.IFS($B$20=Verbruiksprofielen!$A$5,Verbruiksprofielen!S22,Achtergrondparameters!$B$20=Verbruiksprofielen!$A$27,Verbruiksprofielen!S44,Achtergrondparameters!$B$20=Verbruiksprofielen!$A$49,Verbruiksprofielen!S66,Achtergrondparameters!$B$20=Verbruiksprofielen!$A$71,Verbruiksprofielen!S88,Achtergrondparameters!$B$20=Verbruiksprofielen!$A$93,Verbruiksprofielen!S110,Achtergrondparameters!$B$20=Verbruiksprofielen!$A$115,Verbruiksprofielen!S132,Achtergrondparameters!$B$20=Verbruiksprofielen!$A$136,Verbruiksprofielen!S153,Achtergrondparameters!$B$20=Verbruiksprofielen!$A$157,Verbruiksprofielen!S174)</f>
        <v>7.9918366534463506E-2</v>
      </c>
      <c r="R57" s="35" cm="1">
        <f t="array" ref="R57">_xlfn.IFS($B$20=Verbruiksprofielen!$A$5,Verbruiksprofielen!T22,Achtergrondparameters!$B$20=Verbruiksprofielen!$A$27,Verbruiksprofielen!T44,Achtergrondparameters!$B$20=Verbruiksprofielen!$A$49,Verbruiksprofielen!T66,Achtergrondparameters!$B$20=Verbruiksprofielen!$A$71,Verbruiksprofielen!T88,Achtergrondparameters!$B$20=Verbruiksprofielen!$A$93,Verbruiksprofielen!T110,Achtergrondparameters!$B$20=Verbruiksprofielen!$A$115,Verbruiksprofielen!T132,Achtergrondparameters!$B$20=Verbruiksprofielen!$A$136,Verbruiksprofielen!T153,Achtergrondparameters!$B$20=Verbruiksprofielen!$A$157,Verbruiksprofielen!T174)</f>
        <v>7.9636968251215773E-2</v>
      </c>
      <c r="S57" s="35" cm="1">
        <f t="array" ref="S57">_xlfn.IFS($B$20=Verbruiksprofielen!$A$5,Verbruiksprofielen!U22,Achtergrondparameters!$B$20=Verbruiksprofielen!$A$27,Verbruiksprofielen!U44,Achtergrondparameters!$B$20=Verbruiksprofielen!$A$49,Verbruiksprofielen!U66,Achtergrondparameters!$B$20=Verbruiksprofielen!$A$71,Verbruiksprofielen!U88,Achtergrondparameters!$B$20=Verbruiksprofielen!$A$93,Verbruiksprofielen!U110,Achtergrondparameters!$B$20=Verbruiksprofielen!$A$115,Verbruiksprofielen!U132,Achtergrondparameters!$B$20=Verbruiksprofielen!$A$136,Verbruiksprofielen!U153,Achtergrondparameters!$B$20=Verbruiksprofielen!$A$157,Verbruiksprofielen!U174)</f>
        <v>8.0494287412931229E-2</v>
      </c>
      <c r="T57" s="35" cm="1">
        <f t="array" ref="T57">_xlfn.IFS($B$20=Verbruiksprofielen!$A$5,Verbruiksprofielen!V22,Achtergrondparameters!$B$20=Verbruiksprofielen!$A$27,Verbruiksprofielen!V44,Achtergrondparameters!$B$20=Verbruiksprofielen!$A$49,Verbruiksprofielen!V66,Achtergrondparameters!$B$20=Verbruiksprofielen!$A$71,Verbruiksprofielen!V88,Achtergrondparameters!$B$20=Verbruiksprofielen!$A$93,Verbruiksprofielen!V110,Achtergrondparameters!$B$20=Verbruiksprofielen!$A$115,Verbruiksprofielen!V132,Achtergrondparameters!$B$20=Verbruiksprofielen!$A$136,Verbruiksprofielen!V153,Achtergrondparameters!$B$20=Verbruiksprofielen!$A$157,Verbruiksprofielen!V174)</f>
        <v>8.135160657464667E-2</v>
      </c>
      <c r="U57" s="35" cm="1">
        <f t="array" ref="U57">_xlfn.IFS($B$20=Verbruiksprofielen!$A$5,Verbruiksprofielen!W22,Achtergrondparameters!$B$20=Verbruiksprofielen!$A$27,Verbruiksprofielen!W44,Achtergrondparameters!$B$20=Verbruiksprofielen!$A$49,Verbruiksprofielen!W66,Achtergrondparameters!$B$20=Verbruiksprofielen!$A$71,Verbruiksprofielen!W88,Achtergrondparameters!$B$20=Verbruiksprofielen!$A$93,Verbruiksprofielen!W110,Achtergrondparameters!$B$20=Verbruiksprofielen!$A$115,Verbruiksprofielen!W132,Achtergrondparameters!$B$20=Verbruiksprofielen!$A$136,Verbruiksprofielen!W153,Achtergrondparameters!$B$20=Verbruiksprofielen!$A$157,Verbruiksprofielen!W174)</f>
        <v>8.2208925736362126E-2</v>
      </c>
      <c r="V57" s="35" cm="1">
        <f t="array" ref="V57">_xlfn.IFS($B$20=Verbruiksprofielen!$A$5,Verbruiksprofielen!X22,Achtergrondparameters!$B$20=Verbruiksprofielen!$A$27,Verbruiksprofielen!X44,Achtergrondparameters!$B$20=Verbruiksprofielen!$A$49,Verbruiksprofielen!X66,Achtergrondparameters!$B$20=Verbruiksprofielen!$A$71,Verbruiksprofielen!X88,Achtergrondparameters!$B$20=Verbruiksprofielen!$A$93,Verbruiksprofielen!X110,Achtergrondparameters!$B$20=Verbruiksprofielen!$A$115,Verbruiksprofielen!X132,Achtergrondparameters!$B$20=Verbruiksprofielen!$A$136,Verbruiksprofielen!X153,Achtergrondparameters!$B$20=Verbruiksprofielen!$A$157,Verbruiksprofielen!X174)</f>
        <v>8.3066244898077568E-2</v>
      </c>
      <c r="W57" s="35" cm="1">
        <f t="array" ref="W57">_xlfn.IFS($B$20=Verbruiksprofielen!$A$5,Verbruiksprofielen!Y22,Achtergrondparameters!$B$20=Verbruiksprofielen!$A$27,Verbruiksprofielen!Y44,Achtergrondparameters!$B$20=Verbruiksprofielen!$A$49,Verbruiksprofielen!Y66,Achtergrondparameters!$B$20=Verbruiksprofielen!$A$71,Verbruiksprofielen!Y88,Achtergrondparameters!$B$20=Verbruiksprofielen!$A$93,Verbruiksprofielen!Y110,Achtergrondparameters!$B$20=Verbruiksprofielen!$A$115,Verbruiksprofielen!Y132,Achtergrondparameters!$B$20=Verbruiksprofielen!$A$136,Verbruiksprofielen!Y153,Achtergrondparameters!$B$20=Verbruiksprofielen!$A$157,Verbruiksprofielen!Y174)</f>
        <v>8.3923564059793024E-2</v>
      </c>
      <c r="X57" s="35" cm="1">
        <f t="array" ref="X57">_xlfn.IFS($B$20=Verbruiksprofielen!$A$5,Verbruiksprofielen!Z22,Achtergrondparameters!$B$20=Verbruiksprofielen!$A$27,Verbruiksprofielen!Z44,Achtergrondparameters!$B$20=Verbruiksprofielen!$A$49,Verbruiksprofielen!Z66,Achtergrondparameters!$B$20=Verbruiksprofielen!$A$71,Verbruiksprofielen!Z88,Achtergrondparameters!$B$20=Verbruiksprofielen!$A$93,Verbruiksprofielen!Z110,Achtergrondparameters!$B$20=Verbruiksprofielen!$A$115,Verbruiksprofielen!Z132,Achtergrondparameters!$B$20=Verbruiksprofielen!$A$136,Verbruiksprofielen!Z153,Achtergrondparameters!$B$20=Verbruiksprofielen!$A$157,Verbruiksprofielen!Z174)</f>
        <v>8.1868524713205798E-2</v>
      </c>
      <c r="Y57" s="35" cm="1">
        <f t="array" ref="Y57">_xlfn.IFS($B$20=Verbruiksprofielen!$A$5,Verbruiksprofielen!AA22,Achtergrondparameters!$B$20=Verbruiksprofielen!$A$27,Verbruiksprofielen!AA44,Achtergrondparameters!$B$20=Verbruiksprofielen!$A$49,Verbruiksprofielen!AA66,Achtergrondparameters!$B$20=Verbruiksprofielen!$A$71,Verbruiksprofielen!AA88,Achtergrondparameters!$B$20=Verbruiksprofielen!$A$93,Verbruiksprofielen!AA110,Achtergrondparameters!$B$20=Verbruiksprofielen!$A$115,Verbruiksprofielen!AA132,Achtergrondparameters!$B$20=Verbruiksprofielen!$A$136,Verbruiksprofielen!AA153,Achtergrondparameters!$B$20=Verbruiksprofielen!$A$157,Verbruiksprofielen!AA174)</f>
        <v>7.9813485366618558E-2</v>
      </c>
      <c r="Z57" s="35" cm="1">
        <f t="array" ref="Z57">_xlfn.IFS($B$20=Verbruiksprofielen!$A$5,Verbruiksprofielen!AB22,Achtergrondparameters!$B$20=Verbruiksprofielen!$A$27,Verbruiksprofielen!AB44,Achtergrondparameters!$B$20=Verbruiksprofielen!$A$49,Verbruiksprofielen!AB66,Achtergrondparameters!$B$20=Verbruiksprofielen!$A$71,Verbruiksprofielen!AB88,Achtergrondparameters!$B$20=Verbruiksprofielen!$A$93,Verbruiksprofielen!AB110,Achtergrondparameters!$B$20=Verbruiksprofielen!$A$115,Verbruiksprofielen!AB132,Achtergrondparameters!$B$20=Verbruiksprofielen!$A$136,Verbruiksprofielen!AB153,Achtergrondparameters!$B$20=Verbruiksprofielen!$A$157,Verbruiksprofielen!AB174)</f>
        <v>7.7758446020031333E-2</v>
      </c>
      <c r="AA57" s="35" cm="1">
        <f t="array" ref="AA57">_xlfn.IFS($B$20=Verbruiksprofielen!$A$5,Verbruiksprofielen!AC22,Achtergrondparameters!$B$20=Verbruiksprofielen!$A$27,Verbruiksprofielen!AC44,Achtergrondparameters!$B$20=Verbruiksprofielen!$A$49,Verbruiksprofielen!AC66,Achtergrondparameters!$B$20=Verbruiksprofielen!$A$71,Verbruiksprofielen!AC88,Achtergrondparameters!$B$20=Verbruiksprofielen!$A$93,Verbruiksprofielen!AC110,Achtergrondparameters!$B$20=Verbruiksprofielen!$A$115,Verbruiksprofielen!AC132,Achtergrondparameters!$B$20=Verbruiksprofielen!$A$136,Verbruiksprofielen!AC153,Achtergrondparameters!$B$20=Verbruiksprofielen!$A$157,Verbruiksprofielen!AC174)</f>
        <v>7.5703406673444093E-2</v>
      </c>
      <c r="AB57" s="35" cm="1">
        <f t="array" ref="AB57">_xlfn.IFS($B$20=Verbruiksprofielen!$A$5,Verbruiksprofielen!AD22,Achtergrondparameters!$B$20=Verbruiksprofielen!$A$27,Verbruiksprofielen!AD44,Achtergrondparameters!$B$20=Verbruiksprofielen!$A$49,Verbruiksprofielen!AD66,Achtergrondparameters!$B$20=Verbruiksprofielen!$A$71,Verbruiksprofielen!AD88,Achtergrondparameters!$B$20=Verbruiksprofielen!$A$93,Verbruiksprofielen!AD110,Achtergrondparameters!$B$20=Verbruiksprofielen!$A$115,Verbruiksprofielen!AD132,Achtergrondparameters!$B$20=Verbruiksprofielen!$A$136,Verbruiksprofielen!AD153,Achtergrondparameters!$B$20=Verbruiksprofielen!$A$157,Verbruiksprofielen!AD174)</f>
        <v>7.3648367326856867E-2</v>
      </c>
      <c r="AC57" s="35" cm="1">
        <f t="array" ref="AC57">_xlfn.IFS($B$20=Verbruiksprofielen!$A$5,Verbruiksprofielen!AE22,Achtergrondparameters!$B$20=Verbruiksprofielen!$A$27,Verbruiksprofielen!AE44,Achtergrondparameters!$B$20=Verbruiksprofielen!$A$49,Verbruiksprofielen!AE66,Achtergrondparameters!$B$20=Verbruiksprofielen!$A$71,Verbruiksprofielen!AE88,Achtergrondparameters!$B$20=Verbruiksprofielen!$A$93,Verbruiksprofielen!AE110,Achtergrondparameters!$B$20=Verbruiksprofielen!$A$115,Verbruiksprofielen!AE132,Achtergrondparameters!$B$20=Verbruiksprofielen!$A$136,Verbruiksprofielen!AE153,Achtergrondparameters!$B$20=Verbruiksprofielen!$A$157,Verbruiksprofielen!AE174)</f>
        <v>7.3648367326856867E-2</v>
      </c>
      <c r="AD57" s="35" cm="1">
        <f t="array" ref="AD57">_xlfn.IFS($B$20=Verbruiksprofielen!$A$5,Verbruiksprofielen!AF22,Achtergrondparameters!$B$20=Verbruiksprofielen!$A$27,Verbruiksprofielen!AF44,Achtergrondparameters!$B$20=Verbruiksprofielen!$A$49,Verbruiksprofielen!AF66,Achtergrondparameters!$B$20=Verbruiksprofielen!$A$71,Verbruiksprofielen!AF88,Achtergrondparameters!$B$20=Verbruiksprofielen!$A$93,Verbruiksprofielen!AF110,Achtergrondparameters!$B$20=Verbruiksprofielen!$A$115,Verbruiksprofielen!AF132,Achtergrondparameters!$B$20=Verbruiksprofielen!$A$136,Verbruiksprofielen!AF153,Achtergrondparameters!$B$20=Verbruiksprofielen!$A$157,Verbruiksprofielen!AF174)</f>
        <v>7.3648367326856867E-2</v>
      </c>
      <c r="AE57" s="35" cm="1">
        <f t="array" ref="AE57">_xlfn.IFS($B$20=Verbruiksprofielen!$A$5,Verbruiksprofielen!AG22,Achtergrondparameters!$B$20=Verbruiksprofielen!$A$27,Verbruiksprofielen!AG44,Achtergrondparameters!$B$20=Verbruiksprofielen!$A$49,Verbruiksprofielen!AG66,Achtergrondparameters!$B$20=Verbruiksprofielen!$A$71,Verbruiksprofielen!AG88,Achtergrondparameters!$B$20=Verbruiksprofielen!$A$93,Verbruiksprofielen!AG110,Achtergrondparameters!$B$20=Verbruiksprofielen!$A$115,Verbruiksprofielen!AG132,Achtergrondparameters!$B$20=Verbruiksprofielen!$A$136,Verbruiksprofielen!AG153,Achtergrondparameters!$B$20=Verbruiksprofielen!$A$157,Verbruiksprofielen!AG174)</f>
        <v>7.3648367326856867E-2</v>
      </c>
      <c r="AF57" s="35" cm="1">
        <f t="array" ref="AF57">_xlfn.IFS($B$20=Verbruiksprofielen!$A$5,Verbruiksprofielen!AH22,Achtergrondparameters!$B$20=Verbruiksprofielen!$A$27,Verbruiksprofielen!AH44,Achtergrondparameters!$B$20=Verbruiksprofielen!$A$49,Verbruiksprofielen!AH66,Achtergrondparameters!$B$20=Verbruiksprofielen!$A$71,Verbruiksprofielen!AH88,Achtergrondparameters!$B$20=Verbruiksprofielen!$A$93,Verbruiksprofielen!AH110,Achtergrondparameters!$B$20=Verbruiksprofielen!$A$115,Verbruiksprofielen!AH132,Achtergrondparameters!$B$20=Verbruiksprofielen!$A$136,Verbruiksprofielen!AH153,Achtergrondparameters!$B$20=Verbruiksprofielen!$A$157,Verbruiksprofielen!AH174)</f>
        <v>7.3648367326856867E-2</v>
      </c>
    </row>
    <row r="58" spans="1:33" s="2" customFormat="1" ht="15.6" x14ac:dyDescent="0.3">
      <c r="A58" s="362" t="s">
        <v>87</v>
      </c>
      <c r="B58" s="33" t="s">
        <v>88</v>
      </c>
      <c r="C58" s="361" cm="1">
        <f t="array" ref="C58">_xlfn.IFS($B$20=Verbruiksprofielen!$A$5,Verbruiksprofielen!E23,Achtergrondparameters!$B$20=Verbruiksprofielen!$A$27,Verbruiksprofielen!E45,Achtergrondparameters!$B$20=Verbruiksprofielen!$A$49,Verbruiksprofielen!E67,Achtergrondparameters!$B$20=Verbruiksprofielen!$A$71,Verbruiksprofielen!E89,Achtergrondparameters!$B$20=Verbruiksprofielen!$A$93,Verbruiksprofielen!E111,Achtergrondparameters!$B$20=Verbruiksprofielen!$A$115,Verbruiksprofielen!E133,Achtergrondparameters!$B$20=Verbruiksprofielen!$A$136,Verbruiksprofielen!E154,Achtergrondparameters!$B$20=Verbruiksprofielen!$A$157,Verbruiksprofielen!E175)</f>
        <v>8000</v>
      </c>
      <c r="D58" s="361" cm="1">
        <f t="array" ref="D58">_xlfn.IFS($B$20=Verbruiksprofielen!$A$5,Verbruiksprofielen!F23,Achtergrondparameters!$B$20=Verbruiksprofielen!$A$27,Verbruiksprofielen!F45,Achtergrondparameters!$B$20=Verbruiksprofielen!$A$49,Verbruiksprofielen!F67,Achtergrondparameters!$B$20=Verbruiksprofielen!$A$71,Verbruiksprofielen!F89,Achtergrondparameters!$B$20=Verbruiksprofielen!$A$93,Verbruiksprofielen!F111,Achtergrondparameters!$B$20=Verbruiksprofielen!$A$115,Verbruiksprofielen!F133,Achtergrondparameters!$B$20=Verbruiksprofielen!$A$136,Verbruiksprofielen!F154,Achtergrondparameters!$B$20=Verbruiksprofielen!$A$157,Verbruiksprofielen!F175)</f>
        <v>8000</v>
      </c>
      <c r="E58" s="361" cm="1">
        <f t="array" ref="E58">_xlfn.IFS($B$20=Verbruiksprofielen!$A$5,Verbruiksprofielen!G23,Achtergrondparameters!$B$20=Verbruiksprofielen!$A$27,Verbruiksprofielen!G45,Achtergrondparameters!$B$20=Verbruiksprofielen!$A$49,Verbruiksprofielen!G67,Achtergrondparameters!$B$20=Verbruiksprofielen!$A$71,Verbruiksprofielen!G89,Achtergrondparameters!$B$20=Verbruiksprofielen!$A$93,Verbruiksprofielen!G111,Achtergrondparameters!$B$20=Verbruiksprofielen!$A$115,Verbruiksprofielen!G133,Achtergrondparameters!$B$20=Verbruiksprofielen!$A$136,Verbruiksprofielen!G154,Achtergrondparameters!$B$20=Verbruiksprofielen!$A$157,Verbruiksprofielen!G175)</f>
        <v>8000</v>
      </c>
      <c r="F58" s="361" cm="1">
        <f t="array" ref="F58">_xlfn.IFS($B$20=Verbruiksprofielen!$A$5,Verbruiksprofielen!H23,Achtergrondparameters!$B$20=Verbruiksprofielen!$A$27,Verbruiksprofielen!H45,Achtergrondparameters!$B$20=Verbruiksprofielen!$A$49,Verbruiksprofielen!H67,Achtergrondparameters!$B$20=Verbruiksprofielen!$A$71,Verbruiksprofielen!H89,Achtergrondparameters!$B$20=Verbruiksprofielen!$A$93,Verbruiksprofielen!H111,Achtergrondparameters!$B$20=Verbruiksprofielen!$A$115,Verbruiksprofielen!H133,Achtergrondparameters!$B$20=Verbruiksprofielen!$A$136,Verbruiksprofielen!H154,Achtergrondparameters!$B$20=Verbruiksprofielen!$A$157,Verbruiksprofielen!H175)</f>
        <v>8000</v>
      </c>
      <c r="G58" s="361" cm="1">
        <f t="array" ref="G58">_xlfn.IFS($B$20=Verbruiksprofielen!$A$5,Verbruiksprofielen!I23,Achtergrondparameters!$B$20=Verbruiksprofielen!$A$27,Verbruiksprofielen!I45,Achtergrondparameters!$B$20=Verbruiksprofielen!$A$49,Verbruiksprofielen!I67,Achtergrondparameters!$B$20=Verbruiksprofielen!$A$71,Verbruiksprofielen!I89,Achtergrondparameters!$B$20=Verbruiksprofielen!$A$93,Verbruiksprofielen!I111,Achtergrondparameters!$B$20=Verbruiksprofielen!$A$115,Verbruiksprofielen!I133,Achtergrondparameters!$B$20=Verbruiksprofielen!$A$136,Verbruiksprofielen!I154,Achtergrondparameters!$B$20=Verbruiksprofielen!$A$157,Verbruiksprofielen!I175)</f>
        <v>8000</v>
      </c>
      <c r="H58" s="361" cm="1">
        <f t="array" ref="H58">_xlfn.IFS($B$20=Verbruiksprofielen!$A$5,Verbruiksprofielen!J23,Achtergrondparameters!$B$20=Verbruiksprofielen!$A$27,Verbruiksprofielen!J45,Achtergrondparameters!$B$20=Verbruiksprofielen!$A$49,Verbruiksprofielen!J67,Achtergrondparameters!$B$20=Verbruiksprofielen!$A$71,Verbruiksprofielen!J89,Achtergrondparameters!$B$20=Verbruiksprofielen!$A$93,Verbruiksprofielen!J111,Achtergrondparameters!$B$20=Verbruiksprofielen!$A$115,Verbruiksprofielen!J133,Achtergrondparameters!$B$20=Verbruiksprofielen!$A$136,Verbruiksprofielen!J154,Achtergrondparameters!$B$20=Verbruiksprofielen!$A$157,Verbruiksprofielen!J175)</f>
        <v>8000</v>
      </c>
      <c r="I58" s="361" cm="1">
        <f t="array" ref="I58">_xlfn.IFS($B$20=Verbruiksprofielen!$A$5,Verbruiksprofielen!K23,Achtergrondparameters!$B$20=Verbruiksprofielen!$A$27,Verbruiksprofielen!K45,Achtergrondparameters!$B$20=Verbruiksprofielen!$A$49,Verbruiksprofielen!K67,Achtergrondparameters!$B$20=Verbruiksprofielen!$A$71,Verbruiksprofielen!K89,Achtergrondparameters!$B$20=Verbruiksprofielen!$A$93,Verbruiksprofielen!K111,Achtergrondparameters!$B$20=Verbruiksprofielen!$A$115,Verbruiksprofielen!K133,Achtergrondparameters!$B$20=Verbruiksprofielen!$A$136,Verbruiksprofielen!K154,Achtergrondparameters!$B$20=Verbruiksprofielen!$A$157,Verbruiksprofielen!K175)</f>
        <v>8000</v>
      </c>
      <c r="J58" s="361" cm="1">
        <f t="array" ref="J58">_xlfn.IFS($B$20=Verbruiksprofielen!$A$5,Verbruiksprofielen!L23,Achtergrondparameters!$B$20=Verbruiksprofielen!$A$27,Verbruiksprofielen!L45,Achtergrondparameters!$B$20=Verbruiksprofielen!$A$49,Verbruiksprofielen!L67,Achtergrondparameters!$B$20=Verbruiksprofielen!$A$71,Verbruiksprofielen!L89,Achtergrondparameters!$B$20=Verbruiksprofielen!$A$93,Verbruiksprofielen!L111,Achtergrondparameters!$B$20=Verbruiksprofielen!$A$115,Verbruiksprofielen!L133,Achtergrondparameters!$B$20=Verbruiksprofielen!$A$136,Verbruiksprofielen!L154,Achtergrondparameters!$B$20=Verbruiksprofielen!$A$157,Verbruiksprofielen!L175)</f>
        <v>8000</v>
      </c>
      <c r="K58" s="361" cm="1">
        <f t="array" ref="K58">_xlfn.IFS($B$20=Verbruiksprofielen!$A$5,Verbruiksprofielen!M23,Achtergrondparameters!$B$20=Verbruiksprofielen!$A$27,Verbruiksprofielen!M45,Achtergrondparameters!$B$20=Verbruiksprofielen!$A$49,Verbruiksprofielen!M67,Achtergrondparameters!$B$20=Verbruiksprofielen!$A$71,Verbruiksprofielen!M89,Achtergrondparameters!$B$20=Verbruiksprofielen!$A$93,Verbruiksprofielen!M111,Achtergrondparameters!$B$20=Verbruiksprofielen!$A$115,Verbruiksprofielen!M133,Achtergrondparameters!$B$20=Verbruiksprofielen!$A$136,Verbruiksprofielen!M154,Achtergrondparameters!$B$20=Verbruiksprofielen!$A$157,Verbruiksprofielen!M175)</f>
        <v>8000</v>
      </c>
      <c r="L58" s="361" cm="1">
        <f t="array" ref="L58">_xlfn.IFS($B$20=Verbruiksprofielen!$A$5,Verbruiksprofielen!N23,Achtergrondparameters!$B$20=Verbruiksprofielen!$A$27,Verbruiksprofielen!N45,Achtergrondparameters!$B$20=Verbruiksprofielen!$A$49,Verbruiksprofielen!N67,Achtergrondparameters!$B$20=Verbruiksprofielen!$A$71,Verbruiksprofielen!N89,Achtergrondparameters!$B$20=Verbruiksprofielen!$A$93,Verbruiksprofielen!N111,Achtergrondparameters!$B$20=Verbruiksprofielen!$A$115,Verbruiksprofielen!N133,Achtergrondparameters!$B$20=Verbruiksprofielen!$A$136,Verbruiksprofielen!N154,Achtergrondparameters!$B$20=Verbruiksprofielen!$A$157,Verbruiksprofielen!N175)</f>
        <v>8000</v>
      </c>
      <c r="M58" s="361" cm="1">
        <f t="array" ref="M58">_xlfn.IFS($B$20=Verbruiksprofielen!$A$5,Verbruiksprofielen!O23,Achtergrondparameters!$B$20=Verbruiksprofielen!$A$27,Verbruiksprofielen!O45,Achtergrondparameters!$B$20=Verbruiksprofielen!$A$49,Verbruiksprofielen!O67,Achtergrondparameters!$B$20=Verbruiksprofielen!$A$71,Verbruiksprofielen!O89,Achtergrondparameters!$B$20=Verbruiksprofielen!$A$93,Verbruiksprofielen!O111,Achtergrondparameters!$B$20=Verbruiksprofielen!$A$115,Verbruiksprofielen!O133,Achtergrondparameters!$B$20=Verbruiksprofielen!$A$136,Verbruiksprofielen!O154,Achtergrondparameters!$B$20=Verbruiksprofielen!$A$157,Verbruiksprofielen!O175)</f>
        <v>8000</v>
      </c>
      <c r="N58" s="361" cm="1">
        <f t="array" ref="N58">_xlfn.IFS($B$20=Verbruiksprofielen!$A$5,Verbruiksprofielen!P23,Achtergrondparameters!$B$20=Verbruiksprofielen!$A$27,Verbruiksprofielen!P45,Achtergrondparameters!$B$20=Verbruiksprofielen!$A$49,Verbruiksprofielen!P67,Achtergrondparameters!$B$20=Verbruiksprofielen!$A$71,Verbruiksprofielen!P89,Achtergrondparameters!$B$20=Verbruiksprofielen!$A$93,Verbruiksprofielen!P111,Achtergrondparameters!$B$20=Verbruiksprofielen!$A$115,Verbruiksprofielen!P133,Achtergrondparameters!$B$20=Verbruiksprofielen!$A$136,Verbruiksprofielen!P154,Achtergrondparameters!$B$20=Verbruiksprofielen!$A$157,Verbruiksprofielen!P175)</f>
        <v>8000</v>
      </c>
      <c r="O58" s="361" cm="1">
        <f t="array" ref="O58">_xlfn.IFS($B$20=Verbruiksprofielen!$A$5,Verbruiksprofielen!Q23,Achtergrondparameters!$B$20=Verbruiksprofielen!$A$27,Verbruiksprofielen!Q45,Achtergrondparameters!$B$20=Verbruiksprofielen!$A$49,Verbruiksprofielen!Q67,Achtergrondparameters!$B$20=Verbruiksprofielen!$A$71,Verbruiksprofielen!Q89,Achtergrondparameters!$B$20=Verbruiksprofielen!$A$93,Verbruiksprofielen!Q111,Achtergrondparameters!$B$20=Verbruiksprofielen!$A$115,Verbruiksprofielen!Q133,Achtergrondparameters!$B$20=Verbruiksprofielen!$A$136,Verbruiksprofielen!Q154,Achtergrondparameters!$B$20=Verbruiksprofielen!$A$157,Verbruiksprofielen!Q175)</f>
        <v>8000</v>
      </c>
      <c r="P58" s="361" cm="1">
        <f t="array" ref="P58">_xlfn.IFS($B$20=Verbruiksprofielen!$A$5,Verbruiksprofielen!R23,Achtergrondparameters!$B$20=Verbruiksprofielen!$A$27,Verbruiksprofielen!R45,Achtergrondparameters!$B$20=Verbruiksprofielen!$A$49,Verbruiksprofielen!R67,Achtergrondparameters!$B$20=Verbruiksprofielen!$A$71,Verbruiksprofielen!R89,Achtergrondparameters!$B$20=Verbruiksprofielen!$A$93,Verbruiksprofielen!R111,Achtergrondparameters!$B$20=Verbruiksprofielen!$A$115,Verbruiksprofielen!R133,Achtergrondparameters!$B$20=Verbruiksprofielen!$A$136,Verbruiksprofielen!R154,Achtergrondparameters!$B$20=Verbruiksprofielen!$A$157,Verbruiksprofielen!R175)</f>
        <v>8000</v>
      </c>
      <c r="Q58" s="361" cm="1">
        <f t="array" ref="Q58">_xlfn.IFS($B$20=Verbruiksprofielen!$A$5,Verbruiksprofielen!S23,Achtergrondparameters!$B$20=Verbruiksprofielen!$A$27,Verbruiksprofielen!S45,Achtergrondparameters!$B$20=Verbruiksprofielen!$A$49,Verbruiksprofielen!S67,Achtergrondparameters!$B$20=Verbruiksprofielen!$A$71,Verbruiksprofielen!S89,Achtergrondparameters!$B$20=Verbruiksprofielen!$A$93,Verbruiksprofielen!S111,Achtergrondparameters!$B$20=Verbruiksprofielen!$A$115,Verbruiksprofielen!S133,Achtergrondparameters!$B$20=Verbruiksprofielen!$A$136,Verbruiksprofielen!S154,Achtergrondparameters!$B$20=Verbruiksprofielen!$A$157,Verbruiksprofielen!S175)</f>
        <v>8000</v>
      </c>
      <c r="R58" s="361" cm="1">
        <f t="array" ref="R58">_xlfn.IFS($B$20=Verbruiksprofielen!$A$5,Verbruiksprofielen!T23,Achtergrondparameters!$B$20=Verbruiksprofielen!$A$27,Verbruiksprofielen!T45,Achtergrondparameters!$B$20=Verbruiksprofielen!$A$49,Verbruiksprofielen!T67,Achtergrondparameters!$B$20=Verbruiksprofielen!$A$71,Verbruiksprofielen!T89,Achtergrondparameters!$B$20=Verbruiksprofielen!$A$93,Verbruiksprofielen!T111,Achtergrondparameters!$B$20=Verbruiksprofielen!$A$115,Verbruiksprofielen!T133,Achtergrondparameters!$B$20=Verbruiksprofielen!$A$136,Verbruiksprofielen!T154,Achtergrondparameters!$B$20=Verbruiksprofielen!$A$157,Verbruiksprofielen!T175)</f>
        <v>8000</v>
      </c>
      <c r="S58" s="361" cm="1">
        <f t="array" ref="S58">_xlfn.IFS($B$20=Verbruiksprofielen!$A$5,Verbruiksprofielen!U23,Achtergrondparameters!$B$20=Verbruiksprofielen!$A$27,Verbruiksprofielen!U45,Achtergrondparameters!$B$20=Verbruiksprofielen!$A$49,Verbruiksprofielen!U67,Achtergrondparameters!$B$20=Verbruiksprofielen!$A$71,Verbruiksprofielen!U89,Achtergrondparameters!$B$20=Verbruiksprofielen!$A$93,Verbruiksprofielen!U111,Achtergrondparameters!$B$20=Verbruiksprofielen!$A$115,Verbruiksprofielen!U133,Achtergrondparameters!$B$20=Verbruiksprofielen!$A$136,Verbruiksprofielen!U154,Achtergrondparameters!$B$20=Verbruiksprofielen!$A$157,Verbruiksprofielen!U175)</f>
        <v>8000</v>
      </c>
      <c r="T58" s="361" cm="1">
        <f t="array" ref="T58">_xlfn.IFS($B$20=Verbruiksprofielen!$A$5,Verbruiksprofielen!V23,Achtergrondparameters!$B$20=Verbruiksprofielen!$A$27,Verbruiksprofielen!V45,Achtergrondparameters!$B$20=Verbruiksprofielen!$A$49,Verbruiksprofielen!V67,Achtergrondparameters!$B$20=Verbruiksprofielen!$A$71,Verbruiksprofielen!V89,Achtergrondparameters!$B$20=Verbruiksprofielen!$A$93,Verbruiksprofielen!V111,Achtergrondparameters!$B$20=Verbruiksprofielen!$A$115,Verbruiksprofielen!V133,Achtergrondparameters!$B$20=Verbruiksprofielen!$A$136,Verbruiksprofielen!V154,Achtergrondparameters!$B$20=Verbruiksprofielen!$A$157,Verbruiksprofielen!V175)</f>
        <v>8000</v>
      </c>
      <c r="U58" s="361" cm="1">
        <f t="array" ref="U58">_xlfn.IFS($B$20=Verbruiksprofielen!$A$5,Verbruiksprofielen!W23,Achtergrondparameters!$B$20=Verbruiksprofielen!$A$27,Verbruiksprofielen!W45,Achtergrondparameters!$B$20=Verbruiksprofielen!$A$49,Verbruiksprofielen!W67,Achtergrondparameters!$B$20=Verbruiksprofielen!$A$71,Verbruiksprofielen!W89,Achtergrondparameters!$B$20=Verbruiksprofielen!$A$93,Verbruiksprofielen!W111,Achtergrondparameters!$B$20=Verbruiksprofielen!$A$115,Verbruiksprofielen!W133,Achtergrondparameters!$B$20=Verbruiksprofielen!$A$136,Verbruiksprofielen!W154,Achtergrondparameters!$B$20=Verbruiksprofielen!$A$157,Verbruiksprofielen!W175)</f>
        <v>8000</v>
      </c>
      <c r="V58" s="361" cm="1">
        <f t="array" ref="V58">_xlfn.IFS($B$20=Verbruiksprofielen!$A$5,Verbruiksprofielen!X23,Achtergrondparameters!$B$20=Verbruiksprofielen!$A$27,Verbruiksprofielen!X45,Achtergrondparameters!$B$20=Verbruiksprofielen!$A$49,Verbruiksprofielen!X67,Achtergrondparameters!$B$20=Verbruiksprofielen!$A$71,Verbruiksprofielen!X89,Achtergrondparameters!$B$20=Verbruiksprofielen!$A$93,Verbruiksprofielen!X111,Achtergrondparameters!$B$20=Verbruiksprofielen!$A$115,Verbruiksprofielen!X133,Achtergrondparameters!$B$20=Verbruiksprofielen!$A$136,Verbruiksprofielen!X154,Achtergrondparameters!$B$20=Verbruiksprofielen!$A$157,Verbruiksprofielen!X175)</f>
        <v>8000</v>
      </c>
      <c r="W58" s="361" cm="1">
        <f t="array" ref="W58">_xlfn.IFS($B$20=Verbruiksprofielen!$A$5,Verbruiksprofielen!Y23,Achtergrondparameters!$B$20=Verbruiksprofielen!$A$27,Verbruiksprofielen!Y45,Achtergrondparameters!$B$20=Verbruiksprofielen!$A$49,Verbruiksprofielen!Y67,Achtergrondparameters!$B$20=Verbruiksprofielen!$A$71,Verbruiksprofielen!Y89,Achtergrondparameters!$B$20=Verbruiksprofielen!$A$93,Verbruiksprofielen!Y111,Achtergrondparameters!$B$20=Verbruiksprofielen!$A$115,Verbruiksprofielen!Y133,Achtergrondparameters!$B$20=Verbruiksprofielen!$A$136,Verbruiksprofielen!Y154,Achtergrondparameters!$B$20=Verbruiksprofielen!$A$157,Verbruiksprofielen!Y175)</f>
        <v>8000</v>
      </c>
      <c r="X58" s="361" cm="1">
        <f t="array" ref="X58">_xlfn.IFS($B$20=Verbruiksprofielen!$A$5,Verbruiksprofielen!Z23,Achtergrondparameters!$B$20=Verbruiksprofielen!$A$27,Verbruiksprofielen!Z45,Achtergrondparameters!$B$20=Verbruiksprofielen!$A$49,Verbruiksprofielen!Z67,Achtergrondparameters!$B$20=Verbruiksprofielen!$A$71,Verbruiksprofielen!Z89,Achtergrondparameters!$B$20=Verbruiksprofielen!$A$93,Verbruiksprofielen!Z111,Achtergrondparameters!$B$20=Verbruiksprofielen!$A$115,Verbruiksprofielen!Z133,Achtergrondparameters!$B$20=Verbruiksprofielen!$A$136,Verbruiksprofielen!Z154,Achtergrondparameters!$B$20=Verbruiksprofielen!$A$157,Verbruiksprofielen!Z175)</f>
        <v>8000</v>
      </c>
      <c r="Y58" s="361" cm="1">
        <f t="array" ref="Y58">_xlfn.IFS($B$20=Verbruiksprofielen!$A$5,Verbruiksprofielen!AA23,Achtergrondparameters!$B$20=Verbruiksprofielen!$A$27,Verbruiksprofielen!AA45,Achtergrondparameters!$B$20=Verbruiksprofielen!$A$49,Verbruiksprofielen!AA67,Achtergrondparameters!$B$20=Verbruiksprofielen!$A$71,Verbruiksprofielen!AA89,Achtergrondparameters!$B$20=Verbruiksprofielen!$A$93,Verbruiksprofielen!AA111,Achtergrondparameters!$B$20=Verbruiksprofielen!$A$115,Verbruiksprofielen!AA133,Achtergrondparameters!$B$20=Verbruiksprofielen!$A$136,Verbruiksprofielen!AA154,Achtergrondparameters!$B$20=Verbruiksprofielen!$A$157,Verbruiksprofielen!AA175)</f>
        <v>8000</v>
      </c>
      <c r="Z58" s="361" cm="1">
        <f t="array" ref="Z58">_xlfn.IFS($B$20=Verbruiksprofielen!$A$5,Verbruiksprofielen!AB23,Achtergrondparameters!$B$20=Verbruiksprofielen!$A$27,Verbruiksprofielen!AB45,Achtergrondparameters!$B$20=Verbruiksprofielen!$A$49,Verbruiksprofielen!AB67,Achtergrondparameters!$B$20=Verbruiksprofielen!$A$71,Verbruiksprofielen!AB89,Achtergrondparameters!$B$20=Verbruiksprofielen!$A$93,Verbruiksprofielen!AB111,Achtergrondparameters!$B$20=Verbruiksprofielen!$A$115,Verbruiksprofielen!AB133,Achtergrondparameters!$B$20=Verbruiksprofielen!$A$136,Verbruiksprofielen!AB154,Achtergrondparameters!$B$20=Verbruiksprofielen!$A$157,Verbruiksprofielen!AB175)</f>
        <v>8000</v>
      </c>
      <c r="AA58" s="361" cm="1">
        <f t="array" ref="AA58">_xlfn.IFS($B$20=Verbruiksprofielen!$A$5,Verbruiksprofielen!AC23,Achtergrondparameters!$B$20=Verbruiksprofielen!$A$27,Verbruiksprofielen!AC45,Achtergrondparameters!$B$20=Verbruiksprofielen!$A$49,Verbruiksprofielen!AC67,Achtergrondparameters!$B$20=Verbruiksprofielen!$A$71,Verbruiksprofielen!AC89,Achtergrondparameters!$B$20=Verbruiksprofielen!$A$93,Verbruiksprofielen!AC111,Achtergrondparameters!$B$20=Verbruiksprofielen!$A$115,Verbruiksprofielen!AC133,Achtergrondparameters!$B$20=Verbruiksprofielen!$A$136,Verbruiksprofielen!AC154,Achtergrondparameters!$B$20=Verbruiksprofielen!$A$157,Verbruiksprofielen!AC175)</f>
        <v>8000</v>
      </c>
      <c r="AB58" s="361" cm="1">
        <f t="array" ref="AB58">_xlfn.IFS($B$20=Verbruiksprofielen!$A$5,Verbruiksprofielen!AD23,Achtergrondparameters!$B$20=Verbruiksprofielen!$A$27,Verbruiksprofielen!AD45,Achtergrondparameters!$B$20=Verbruiksprofielen!$A$49,Verbruiksprofielen!AD67,Achtergrondparameters!$B$20=Verbruiksprofielen!$A$71,Verbruiksprofielen!AD89,Achtergrondparameters!$B$20=Verbruiksprofielen!$A$93,Verbruiksprofielen!AD111,Achtergrondparameters!$B$20=Verbruiksprofielen!$A$115,Verbruiksprofielen!AD133,Achtergrondparameters!$B$20=Verbruiksprofielen!$A$136,Verbruiksprofielen!AD154,Achtergrondparameters!$B$20=Verbruiksprofielen!$A$157,Verbruiksprofielen!AD175)</f>
        <v>8000</v>
      </c>
      <c r="AC58" s="361" cm="1">
        <f t="array" ref="AC58">_xlfn.IFS($B$20=Verbruiksprofielen!$A$5,Verbruiksprofielen!AE23,Achtergrondparameters!$B$20=Verbruiksprofielen!$A$27,Verbruiksprofielen!AE45,Achtergrondparameters!$B$20=Verbruiksprofielen!$A$49,Verbruiksprofielen!AE67,Achtergrondparameters!$B$20=Verbruiksprofielen!$A$71,Verbruiksprofielen!AE89,Achtergrondparameters!$B$20=Verbruiksprofielen!$A$93,Verbruiksprofielen!AE111,Achtergrondparameters!$B$20=Verbruiksprofielen!$A$115,Verbruiksprofielen!AE133,Achtergrondparameters!$B$20=Verbruiksprofielen!$A$136,Verbruiksprofielen!AE154,Achtergrondparameters!$B$20=Verbruiksprofielen!$A$157,Verbruiksprofielen!AE175)</f>
        <v>8000</v>
      </c>
      <c r="AD58" s="361" cm="1">
        <f t="array" ref="AD58">_xlfn.IFS($B$20=Verbruiksprofielen!$A$5,Verbruiksprofielen!AF23,Achtergrondparameters!$B$20=Verbruiksprofielen!$A$27,Verbruiksprofielen!AF45,Achtergrondparameters!$B$20=Verbruiksprofielen!$A$49,Verbruiksprofielen!AF67,Achtergrondparameters!$B$20=Verbruiksprofielen!$A$71,Verbruiksprofielen!AF89,Achtergrondparameters!$B$20=Verbruiksprofielen!$A$93,Verbruiksprofielen!AF111,Achtergrondparameters!$B$20=Verbruiksprofielen!$A$115,Verbruiksprofielen!AF133,Achtergrondparameters!$B$20=Verbruiksprofielen!$A$136,Verbruiksprofielen!AF154,Achtergrondparameters!$B$20=Verbruiksprofielen!$A$157,Verbruiksprofielen!AF175)</f>
        <v>8000</v>
      </c>
      <c r="AE58" s="361" cm="1">
        <f t="array" ref="AE58">_xlfn.IFS($B$20=Verbruiksprofielen!$A$5,Verbruiksprofielen!AG23,Achtergrondparameters!$B$20=Verbruiksprofielen!$A$27,Verbruiksprofielen!AG45,Achtergrondparameters!$B$20=Verbruiksprofielen!$A$49,Verbruiksprofielen!AG67,Achtergrondparameters!$B$20=Verbruiksprofielen!$A$71,Verbruiksprofielen!AG89,Achtergrondparameters!$B$20=Verbruiksprofielen!$A$93,Verbruiksprofielen!AG111,Achtergrondparameters!$B$20=Verbruiksprofielen!$A$115,Verbruiksprofielen!AG133,Achtergrondparameters!$B$20=Verbruiksprofielen!$A$136,Verbruiksprofielen!AG154,Achtergrondparameters!$B$20=Verbruiksprofielen!$A$157,Verbruiksprofielen!AG175)</f>
        <v>8000</v>
      </c>
      <c r="AF58" s="361" cm="1">
        <f t="array" ref="AF58">_xlfn.IFS($B$20=Verbruiksprofielen!$A$5,Verbruiksprofielen!AH23,Achtergrondparameters!$B$20=Verbruiksprofielen!$A$27,Verbruiksprofielen!AH45,Achtergrondparameters!$B$20=Verbruiksprofielen!$A$49,Verbruiksprofielen!AH67,Achtergrondparameters!$B$20=Verbruiksprofielen!$A$71,Verbruiksprofielen!AH89,Achtergrondparameters!$B$20=Verbruiksprofielen!$A$93,Verbruiksprofielen!AH111,Achtergrondparameters!$B$20=Verbruiksprofielen!$A$115,Verbruiksprofielen!AH133,Achtergrondparameters!$B$20=Verbruiksprofielen!$A$136,Verbruiksprofielen!AH154,Achtergrondparameters!$B$20=Verbruiksprofielen!$A$157,Verbruiksprofielen!AH175)</f>
        <v>8000</v>
      </c>
      <c r="AG58" s="153"/>
    </row>
    <row r="59" spans="1:33" ht="15.6" x14ac:dyDescent="0.2">
      <c r="A59" s="16" t="s">
        <v>176</v>
      </c>
      <c r="B59" s="33"/>
      <c r="C59" s="28"/>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row>
    <row r="60" spans="1:33" s="2" customFormat="1" ht="15" customHeight="1" x14ac:dyDescent="0.3">
      <c r="A60" s="243" t="str">
        <f>"Netkosten " &amp; 'Dropdown lists'!B3</f>
        <v>Netkosten Fluvius</v>
      </c>
      <c r="B60" s="33" t="s">
        <v>170</v>
      </c>
      <c r="C60" s="28">
        <f>12*5.3181*(1+Referentieparameters!$B$8)^3</f>
        <v>67.723323177599994</v>
      </c>
      <c r="D60" s="28">
        <f>C60*(1+Referentieparameters!$B$8)</f>
        <v>69.077789641151995</v>
      </c>
      <c r="E60" s="28">
        <f>D60*(1+Referentieparameters!$B$8)</f>
        <v>70.459345433975031</v>
      </c>
      <c r="F60" s="28">
        <f>E60*(1+Referentieparameters!$B$8)</f>
        <v>71.868532342654532</v>
      </c>
      <c r="G60" s="28">
        <f>F60*(1+Referentieparameters!$B$8)</f>
        <v>73.305902989507629</v>
      </c>
      <c r="H60" s="28">
        <f>G60*(1+Referentieparameters!$B$8)</f>
        <v>74.772021049297777</v>
      </c>
      <c r="I60" s="28">
        <f>H60*(1+Referentieparameters!$B$8)</f>
        <v>76.267461470283735</v>
      </c>
      <c r="J60" s="28">
        <f>I60*(1+Referentieparameters!$B$8)</f>
        <v>77.792810699689412</v>
      </c>
      <c r="K60" s="28">
        <f>J60*(1+Referentieparameters!$B$8)</f>
        <v>79.348666913683203</v>
      </c>
      <c r="L60" s="28">
        <f>K60*(1+Referentieparameters!$B$8)</f>
        <v>80.935640251956869</v>
      </c>
      <c r="M60" s="28">
        <f>L60*(1+Referentieparameters!$B$8)</f>
        <v>82.554353056996007</v>
      </c>
      <c r="N60" s="28">
        <f>M60*(1+Referentieparameters!$B$8)</f>
        <v>84.205440118135925</v>
      </c>
      <c r="O60" s="28">
        <f>N60*(1+Referentieparameters!$B$8)</f>
        <v>85.88954892049864</v>
      </c>
      <c r="P60" s="28">
        <f>O60*(1+Referentieparameters!$B$8)</f>
        <v>87.60733989890862</v>
      </c>
      <c r="Q60" s="28">
        <f>P60*(1+Referentieparameters!$B$8)</f>
        <v>89.35948669688679</v>
      </c>
      <c r="R60" s="28">
        <f>Q60*(1+Referentieparameters!$B$8)</f>
        <v>91.146676430824527</v>
      </c>
      <c r="S60" s="28">
        <f>R60*(1+Referentieparameters!$B$8)</f>
        <v>92.969609959441016</v>
      </c>
      <c r="T60" s="28">
        <f>S60*(1+Referentieparameters!$B$8)</f>
        <v>94.829002158629834</v>
      </c>
      <c r="U60" s="28">
        <f>T60*(1+Referentieparameters!$B$8)</f>
        <v>96.725582201802439</v>
      </c>
      <c r="V60" s="28">
        <f>U60*(1+Referentieparameters!$B$8)</f>
        <v>98.660093845838489</v>
      </c>
      <c r="W60" s="28">
        <f>V60*(1+Referentieparameters!$B$8)</f>
        <v>100.63329572275526</v>
      </c>
      <c r="X60" s="28">
        <f>W60*(1+Referentieparameters!$B$8)</f>
        <v>102.64596163721038</v>
      </c>
      <c r="Y60" s="28">
        <f>X60*(1+Referentieparameters!$B$8)</f>
        <v>104.69888086995459</v>
      </c>
      <c r="Z60" s="28">
        <f>Y60*(1+Referentieparameters!$B$8)</f>
        <v>106.79285848735368</v>
      </c>
      <c r="AA60" s="28">
        <f>Z60*(1+Referentieparameters!$B$8)</f>
        <v>108.92871565710075</v>
      </c>
      <c r="AB60" s="28">
        <f>AA60*(1+Referentieparameters!$B$8)</f>
        <v>111.10728997024277</v>
      </c>
      <c r="AC60" s="28">
        <f>AB60*(1+Referentieparameters!$B$8)</f>
        <v>113.32943576964763</v>
      </c>
      <c r="AD60" s="28">
        <f>AC60*(1+Referentieparameters!$B$8)</f>
        <v>115.59602448504059</v>
      </c>
      <c r="AE60" s="28">
        <f>AD60*(1+Referentieparameters!$B$8)</f>
        <v>117.9079449747414</v>
      </c>
      <c r="AF60" s="28">
        <f>AE60*(1+Referentieparameters!$B$8)</f>
        <v>120.26610387423622</v>
      </c>
      <c r="AG60" s="153"/>
    </row>
    <row r="61" spans="1:33" s="2" customFormat="1" ht="14.25" customHeight="1" x14ac:dyDescent="0.3">
      <c r="A61" s="243" t="str">
        <f>"Netkosten " &amp; 'Dropdown lists'!B4</f>
        <v>Netkosten 70/36/30 kV Elia</v>
      </c>
      <c r="B61" s="33" t="s">
        <v>170</v>
      </c>
      <c r="C61" s="28">
        <f>12*3.7846</f>
        <v>45.415199999999999</v>
      </c>
      <c r="D61" s="28">
        <f>C61*(1+Referentieparameters!$B$8)</f>
        <v>46.323504</v>
      </c>
      <c r="E61" s="28">
        <f>D61*(1+Referentieparameters!$B$8)</f>
        <v>47.249974080000001</v>
      </c>
      <c r="F61" s="28">
        <f>E61*(1+Referentieparameters!$B$8)</f>
        <v>48.194973561600001</v>
      </c>
      <c r="G61" s="28">
        <f>F61*(1+Referentieparameters!$B$8)</f>
        <v>49.158873032832005</v>
      </c>
      <c r="H61" s="28">
        <f>G61*(1+Referentieparameters!$B$8)</f>
        <v>50.142050493488647</v>
      </c>
      <c r="I61" s="28">
        <f>H61*(1+Referentieparameters!$B$8)</f>
        <v>51.144891503358423</v>
      </c>
      <c r="J61" s="28">
        <f>I61*(1+Referentieparameters!$B$8)</f>
        <v>52.167789333425596</v>
      </c>
      <c r="K61" s="28">
        <f>J61*(1+Referentieparameters!$B$8)</f>
        <v>53.211145120094109</v>
      </c>
      <c r="L61" s="28">
        <f>K61*(1+Referentieparameters!$B$8)</f>
        <v>54.275368022495989</v>
      </c>
      <c r="M61" s="28">
        <f>L61*(1+Referentieparameters!$B$8)</f>
        <v>55.360875382945913</v>
      </c>
      <c r="N61" s="28">
        <f>M61*(1+Referentieparameters!$B$8)</f>
        <v>56.468092890604829</v>
      </c>
      <c r="O61" s="28">
        <f>N61*(1+Referentieparameters!$B$8)</f>
        <v>57.597454748416929</v>
      </c>
      <c r="P61" s="28">
        <f>O61*(1+Referentieparameters!$B$8)</f>
        <v>58.749403843385267</v>
      </c>
      <c r="Q61" s="28">
        <f>P61*(1+Referentieparameters!$B$8)</f>
        <v>59.924391920252972</v>
      </c>
      <c r="R61" s="28">
        <f>Q61*(1+Referentieparameters!$B$8)</f>
        <v>61.12287975865803</v>
      </c>
      <c r="S61" s="28">
        <f>R61*(1+Referentieparameters!$B$8)</f>
        <v>62.345337353831191</v>
      </c>
      <c r="T61" s="28">
        <f>S61*(1+Referentieparameters!$B$8)</f>
        <v>63.592244100907813</v>
      </c>
      <c r="U61" s="28">
        <f>T61*(1+Referentieparameters!$B$8)</f>
        <v>64.864088982925963</v>
      </c>
      <c r="V61" s="28">
        <f>U61*(1+Referentieparameters!$B$8)</f>
        <v>66.161370762584482</v>
      </c>
      <c r="W61" s="28">
        <f>V61*(1+Referentieparameters!$B$8)</f>
        <v>67.484598177836176</v>
      </c>
      <c r="X61" s="28">
        <f>W61*(1+Referentieparameters!$B$8)</f>
        <v>68.834290141392898</v>
      </c>
      <c r="Y61" s="28">
        <f>X61*(1+Referentieparameters!$B$8)</f>
        <v>70.210975944220763</v>
      </c>
      <c r="Z61" s="28">
        <f>Y61*(1+Referentieparameters!$B$8)</f>
        <v>71.615195463105181</v>
      </c>
      <c r="AA61" s="28">
        <f>Z61*(1+Referentieparameters!$B$8)</f>
        <v>73.047499372367284</v>
      </c>
      <c r="AB61" s="28">
        <f>AA61*(1+Referentieparameters!$B$8)</f>
        <v>74.508449359814634</v>
      </c>
      <c r="AC61" s="28">
        <f>AB61*(1+Referentieparameters!$B$8)</f>
        <v>75.998618347010932</v>
      </c>
      <c r="AD61" s="28">
        <f>AC61*(1+Referentieparameters!$B$8)</f>
        <v>77.518590713951156</v>
      </c>
      <c r="AE61" s="28">
        <f>AD61*(1+Referentieparameters!$B$8)</f>
        <v>79.068962528230173</v>
      </c>
      <c r="AF61" s="28">
        <f>AE61*(1+Referentieparameters!$B$8)</f>
        <v>80.650341778794782</v>
      </c>
      <c r="AG61" s="153"/>
    </row>
    <row r="62" spans="1:33" s="2" customFormat="1" ht="14.25" customHeight="1" x14ac:dyDescent="0.3">
      <c r="A62" s="83" t="str">
        <f>"Netkosten " &amp; 'Dropdown lists'!B5</f>
        <v>Netkosten 380/220/150 kV Elia</v>
      </c>
      <c r="B62" s="33" t="s">
        <v>170</v>
      </c>
      <c r="C62" s="28">
        <f>12*2.4468</f>
        <v>29.361600000000003</v>
      </c>
      <c r="D62" s="28">
        <f>C62*(1+Referentieparameters!$B$8)</f>
        <v>29.948832000000003</v>
      </c>
      <c r="E62" s="28">
        <f>D62*(1+Referentieparameters!$B$8)</f>
        <v>30.547808640000003</v>
      </c>
      <c r="F62" s="28">
        <f>E62*(1+Referentieparameters!$B$8)</f>
        <v>31.158764812800005</v>
      </c>
      <c r="G62" s="28">
        <f>F62*(1+Referentieparameters!$B$8)</f>
        <v>31.781940109056006</v>
      </c>
      <c r="H62" s="28">
        <f>G62*(1+Referentieparameters!$B$8)</f>
        <v>32.417578911237129</v>
      </c>
      <c r="I62" s="28">
        <f>H62*(1+Referentieparameters!$B$8)</f>
        <v>33.06593048946187</v>
      </c>
      <c r="J62" s="28">
        <f>I62*(1+Referentieparameters!$B$8)</f>
        <v>33.727249099251111</v>
      </c>
      <c r="K62" s="28">
        <f>J62*(1+Referentieparameters!$B$8)</f>
        <v>34.401794081236133</v>
      </c>
      <c r="L62" s="28">
        <f>K62*(1+Referentieparameters!$B$8)</f>
        <v>35.089829962860854</v>
      </c>
      <c r="M62" s="28">
        <f>L62*(1+Referentieparameters!$B$8)</f>
        <v>35.791626562118068</v>
      </c>
      <c r="N62" s="28">
        <f>M62*(1+Referentieparameters!$B$8)</f>
        <v>36.507459093360431</v>
      </c>
      <c r="O62" s="28">
        <f>N62*(1+Referentieparameters!$B$8)</f>
        <v>37.237608275227643</v>
      </c>
      <c r="P62" s="28">
        <f>O62*(1+Referentieparameters!$B$8)</f>
        <v>37.982360440732194</v>
      </c>
      <c r="Q62" s="28">
        <f>P62*(1+Referentieparameters!$B$8)</f>
        <v>38.742007649546835</v>
      </c>
      <c r="R62" s="28">
        <f>Q62*(1+Referentieparameters!$B$8)</f>
        <v>39.516847802537775</v>
      </c>
      <c r="S62" s="28">
        <f>R62*(1+Referentieparameters!$B$8)</f>
        <v>40.307184758588534</v>
      </c>
      <c r="T62" s="28">
        <f>S62*(1+Referentieparameters!$B$8)</f>
        <v>41.113328453760303</v>
      </c>
      <c r="U62" s="28">
        <f>T62*(1+Referentieparameters!$B$8)</f>
        <v>41.935595022835507</v>
      </c>
      <c r="V62" s="28">
        <f>U62*(1+Referentieparameters!$B$8)</f>
        <v>42.774306923292215</v>
      </c>
      <c r="W62" s="28">
        <f>V62*(1+Referentieparameters!$B$8)</f>
        <v>43.629793061758058</v>
      </c>
      <c r="X62" s="28">
        <f>W62*(1+Referentieparameters!$B$8)</f>
        <v>44.502388922993219</v>
      </c>
      <c r="Y62" s="28">
        <f>X62*(1+Referentieparameters!$B$8)</f>
        <v>45.392436701453086</v>
      </c>
      <c r="Z62" s="28">
        <f>Y62*(1+Referentieparameters!$B$8)</f>
        <v>46.300285435482145</v>
      </c>
      <c r="AA62" s="28">
        <f>Z62*(1+Referentieparameters!$B$8)</f>
        <v>47.226291144191791</v>
      </c>
      <c r="AB62" s="28">
        <f>AA62*(1+Referentieparameters!$B$8)</f>
        <v>48.170816967075631</v>
      </c>
      <c r="AC62" s="28">
        <f>AB62*(1+Referentieparameters!$B$8)</f>
        <v>49.134233306417144</v>
      </c>
      <c r="AD62" s="28">
        <f>AC62*(1+Referentieparameters!$B$8)</f>
        <v>50.116917972545487</v>
      </c>
      <c r="AE62" s="28">
        <f>AD62*(1+Referentieparameters!$B$8)</f>
        <v>51.119256331996397</v>
      </c>
      <c r="AF62" s="28">
        <f>AE62*(1+Referentieparameters!$B$8)</f>
        <v>52.141641458636329</v>
      </c>
      <c r="AG62" s="153"/>
    </row>
    <row r="63" spans="1:33" s="2" customFormat="1" ht="14.25" customHeight="1" x14ac:dyDescent="0.3">
      <c r="A63" s="46" t="s">
        <v>171</v>
      </c>
      <c r="B63" s="56" t="s">
        <v>172</v>
      </c>
      <c r="C63" s="28">
        <f>0.00772</f>
        <v>7.7200000000000003E-3</v>
      </c>
      <c r="D63" s="28">
        <f>C63*(1+Referentieparameters!$B$8)</f>
        <v>7.8744000000000001E-3</v>
      </c>
      <c r="E63" s="28">
        <f>D63*(1+Referentieparameters!$B$8)</f>
        <v>8.0318880000000009E-3</v>
      </c>
      <c r="F63" s="28">
        <f>E63*(1+Referentieparameters!$B$8)</f>
        <v>8.1925257600000013E-3</v>
      </c>
      <c r="G63" s="28">
        <f>F63*(1+Referentieparameters!$B$8)</f>
        <v>8.3563762752000021E-3</v>
      </c>
      <c r="H63" s="28">
        <f>G63*(1+Referentieparameters!$B$8)</f>
        <v>8.5235038007040031E-3</v>
      </c>
      <c r="I63" s="28">
        <f>H63*(1+Referentieparameters!$B$8)</f>
        <v>8.6939738767180825E-3</v>
      </c>
      <c r="J63" s="28">
        <f>I63*(1+Referentieparameters!$B$8)</f>
        <v>8.8678533542524435E-3</v>
      </c>
      <c r="K63" s="28">
        <f>J63*(1+Referentieparameters!$B$8)</f>
        <v>9.0452104213374924E-3</v>
      </c>
      <c r="L63" s="28">
        <f>K63*(1+Referentieparameters!$B$8)</f>
        <v>9.226114629764243E-3</v>
      </c>
      <c r="M63" s="28">
        <f>L63*(1+Referentieparameters!$B$8)</f>
        <v>9.4106369223595273E-3</v>
      </c>
      <c r="N63" s="28">
        <f>M63*(1+Referentieparameters!$B$8)</f>
        <v>9.5988496608067179E-3</v>
      </c>
      <c r="O63" s="28">
        <f>N63*(1+Referentieparameters!$B$8)</f>
        <v>9.7908266540228522E-3</v>
      </c>
      <c r="P63" s="28">
        <f>O63*(1+Referentieparameters!$B$8)</f>
        <v>9.9866431871033102E-3</v>
      </c>
      <c r="Q63" s="28">
        <f>P63*(1+Referentieparameters!$B$8)</f>
        <v>1.0186376050845377E-2</v>
      </c>
      <c r="R63" s="28">
        <f>Q63*(1+Referentieparameters!$B$8)</f>
        <v>1.0390103571862284E-2</v>
      </c>
      <c r="S63" s="28">
        <f>R63*(1+Referentieparameters!$B$8)</f>
        <v>1.0597905643299531E-2</v>
      </c>
      <c r="T63" s="28">
        <f>S63*(1+Referentieparameters!$B$8)</f>
        <v>1.0809863756165522E-2</v>
      </c>
      <c r="U63" s="28">
        <f>T63*(1+Referentieparameters!$B$8)</f>
        <v>1.1026061031288833E-2</v>
      </c>
      <c r="V63" s="28">
        <f>U63*(1+Referentieparameters!$B$8)</f>
        <v>1.124658225191461E-2</v>
      </c>
      <c r="W63" s="28">
        <f>V63*(1+Referentieparameters!$B$8)</f>
        <v>1.1471513896952903E-2</v>
      </c>
      <c r="X63" s="28">
        <f>W63*(1+Referentieparameters!$B$8)</f>
        <v>1.1700944174891962E-2</v>
      </c>
      <c r="Y63" s="28">
        <f>X63*(1+Referentieparameters!$B$8)</f>
        <v>1.1934963058389801E-2</v>
      </c>
      <c r="Z63" s="28">
        <f>Y63*(1+Referentieparameters!$B$8)</f>
        <v>1.2173662319557597E-2</v>
      </c>
      <c r="AA63" s="28">
        <f>Z63*(1+Referentieparameters!$B$8)</f>
        <v>1.2417135565948749E-2</v>
      </c>
      <c r="AB63" s="28">
        <f>AA63*(1+Referentieparameters!$B$8)</f>
        <v>1.2665478277267724E-2</v>
      </c>
      <c r="AC63" s="28">
        <f>AB63*(1+Referentieparameters!$B$8)</f>
        <v>1.2918787842813079E-2</v>
      </c>
      <c r="AD63" s="28">
        <f>AC63*(1+Referentieparameters!$B$8)</f>
        <v>1.3177163599669341E-2</v>
      </c>
      <c r="AE63" s="28">
        <f>AD63*(1+Referentieparameters!$B$8)</f>
        <v>1.3440706871662728E-2</v>
      </c>
      <c r="AF63" s="28">
        <f>AE63*(1+Referentieparameters!$B$8)</f>
        <v>1.3709521009095983E-2</v>
      </c>
      <c r="AG63" s="153"/>
    </row>
    <row r="64" spans="1:33" ht="14.25" customHeight="1" thickBot="1" x14ac:dyDescent="0.35">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row>
    <row r="65" spans="2:2" ht="14.25" customHeight="1" x14ac:dyDescent="0.2">
      <c r="B65" s="2"/>
    </row>
    <row r="66" spans="2:2" ht="14.25" customHeight="1" x14ac:dyDescent="0.2">
      <c r="B66" s="2"/>
    </row>
    <row r="67" spans="2:2" ht="14.25" customHeight="1" x14ac:dyDescent="0.2">
      <c r="B67" s="2"/>
    </row>
    <row r="68" spans="2:2" ht="14.25" customHeight="1" x14ac:dyDescent="0.2">
      <c r="B68" s="2"/>
    </row>
    <row r="69" spans="2:2" ht="14.25" customHeight="1" x14ac:dyDescent="0.2">
      <c r="B69" s="2"/>
    </row>
    <row r="70" spans="2:2" ht="14.25" customHeight="1" x14ac:dyDescent="0.2">
      <c r="B70" s="2"/>
    </row>
    <row r="71" spans="2:2" ht="14.25" customHeight="1" x14ac:dyDescent="0.2">
      <c r="B71" s="2"/>
    </row>
  </sheetData>
  <mergeCells count="2">
    <mergeCell ref="A6:O6"/>
    <mergeCell ref="A17:AF17"/>
  </mergeCells>
  <phoneticPr fontId="4" type="noConversion"/>
  <pageMargins left="0.7" right="0.7" top="0.75" bottom="0.75" header="0.3" footer="0.3"/>
  <pageSetup paperSize="9" orientation="portrait" r:id="rId1"/>
  <drawing r:id="rId2"/>
  <legacyDrawing r:id="rId3"/>
  <tableParts count="3">
    <tablePart r:id="rId4"/>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AC0FF-4166-4AE1-B882-6A46F649564D}">
  <sheetPr>
    <tabColor theme="5" tint="0.59999389629810485"/>
  </sheetPr>
  <dimension ref="A1:AV176"/>
  <sheetViews>
    <sheetView topLeftCell="A5" zoomScale="70" zoomScaleNormal="70" workbookViewId="0">
      <selection activeCell="E120" sqref="E120"/>
    </sheetView>
  </sheetViews>
  <sheetFormatPr defaultColWidth="9.109375" defaultRowHeight="14.4" x14ac:dyDescent="0.3"/>
  <cols>
    <col min="1" max="3" width="8.6640625" customWidth="1"/>
    <col min="4" max="4" width="10.33203125" bestFit="1" customWidth="1"/>
    <col min="5" max="5" width="14.44140625" style="343" bestFit="1" customWidth="1"/>
    <col min="6" max="9" width="13.6640625" style="343" bestFit="1" customWidth="1"/>
    <col min="10" max="10" width="14.44140625" style="343" bestFit="1" customWidth="1"/>
    <col min="11" max="14" width="13.6640625" style="343" bestFit="1" customWidth="1"/>
    <col min="15" max="15" width="14.44140625" style="343" bestFit="1" customWidth="1"/>
    <col min="16" max="19" width="13.6640625" style="343" bestFit="1" customWidth="1"/>
    <col min="20" max="20" width="14.44140625" style="343" bestFit="1" customWidth="1"/>
    <col min="21" max="24" width="13.6640625" style="343" bestFit="1" customWidth="1"/>
    <col min="25" max="25" width="14.44140625" style="343" bestFit="1" customWidth="1"/>
    <col min="26" max="29" width="13.6640625" style="343" bestFit="1" customWidth="1"/>
    <col min="30" max="30" width="14.44140625" style="343" bestFit="1" customWidth="1"/>
    <col min="31" max="34" width="13.6640625" style="343" bestFit="1" customWidth="1"/>
    <col min="35" max="37" width="8.6640625"/>
    <col min="38" max="38" width="22.6640625" style="60" customWidth="1"/>
    <col min="39" max="39" width="14.109375" style="60" bestFit="1" customWidth="1"/>
    <col min="40" max="40" width="16.33203125" style="60" bestFit="1" customWidth="1"/>
    <col min="41" max="16384" width="9.109375" style="60"/>
  </cols>
  <sheetData>
    <row r="1" spans="1:48" x14ac:dyDescent="0.3">
      <c r="A1" s="8"/>
      <c r="B1" s="9"/>
      <c r="C1" s="9"/>
      <c r="D1" s="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c r="AD1" s="339"/>
      <c r="AE1" s="339"/>
      <c r="AF1" s="339"/>
      <c r="AG1" s="340"/>
      <c r="AH1" s="340"/>
      <c r="AI1" s="60"/>
      <c r="AJ1" s="5"/>
      <c r="AK1" s="5"/>
      <c r="AL1" s="5"/>
      <c r="AM1" s="5"/>
      <c r="AN1" s="5"/>
      <c r="AO1" s="5"/>
      <c r="AP1" s="5"/>
      <c r="AQ1" s="5"/>
      <c r="AR1" s="5"/>
      <c r="AS1" s="5"/>
      <c r="AT1" s="5"/>
      <c r="AU1" s="5"/>
      <c r="AV1" s="5"/>
    </row>
    <row r="2" spans="1:48" ht="33.6" x14ac:dyDescent="0.3">
      <c r="A2" s="10" t="s">
        <v>177</v>
      </c>
      <c r="B2" s="9"/>
      <c r="C2" s="9"/>
      <c r="D2" s="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340"/>
      <c r="AH2" s="340"/>
      <c r="AI2" s="60"/>
      <c r="AJ2" s="5"/>
      <c r="AK2" s="5"/>
      <c r="AL2" s="5"/>
      <c r="AM2" s="5"/>
      <c r="AN2" s="5"/>
      <c r="AO2" s="5"/>
      <c r="AP2" s="5"/>
      <c r="AQ2" s="5"/>
      <c r="AR2" s="5"/>
      <c r="AS2" s="5"/>
      <c r="AT2" s="5"/>
      <c r="AU2" s="5"/>
      <c r="AV2" s="5"/>
    </row>
    <row r="3" spans="1:48" x14ac:dyDescent="0.3">
      <c r="A3" s="8"/>
      <c r="B3" s="9"/>
      <c r="C3" s="9"/>
      <c r="D3" s="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c r="AG3" s="340"/>
      <c r="AH3" s="340"/>
      <c r="AI3" s="60"/>
      <c r="AJ3" s="5"/>
      <c r="AK3" s="5"/>
      <c r="AL3" s="5"/>
      <c r="AM3" s="5"/>
      <c r="AN3" s="5"/>
      <c r="AO3" s="5"/>
      <c r="AP3" s="5"/>
      <c r="AQ3" s="5"/>
      <c r="AR3" s="5"/>
      <c r="AS3" s="5"/>
      <c r="AT3" s="5"/>
      <c r="AU3" s="5"/>
      <c r="AV3" s="5"/>
    </row>
    <row r="4" spans="1:48" x14ac:dyDescent="0.3">
      <c r="B4" s="60"/>
      <c r="C4" s="60"/>
      <c r="D4" s="60"/>
      <c r="E4" s="341"/>
      <c r="F4" s="341"/>
      <c r="G4" s="341"/>
      <c r="H4" s="341"/>
      <c r="I4" s="341"/>
      <c r="J4" s="341"/>
      <c r="K4" s="341"/>
      <c r="L4" s="341"/>
      <c r="M4" s="341"/>
      <c r="N4" s="341"/>
      <c r="O4" s="341"/>
      <c r="P4" s="341"/>
      <c r="Q4" s="341"/>
      <c r="R4" s="341"/>
      <c r="S4" s="341"/>
      <c r="T4" s="341"/>
      <c r="U4" s="341"/>
      <c r="V4" s="341"/>
      <c r="W4" s="341"/>
      <c r="X4" s="341"/>
      <c r="Y4" s="341"/>
      <c r="Z4" s="341"/>
      <c r="AA4" s="341"/>
      <c r="AB4" s="341"/>
      <c r="AC4" s="341"/>
      <c r="AD4" s="341"/>
      <c r="AE4" s="341"/>
      <c r="AF4" s="341"/>
      <c r="AG4" s="341"/>
      <c r="AH4" s="341"/>
      <c r="AI4" s="60"/>
      <c r="AJ4" s="60"/>
      <c r="AK4" s="60"/>
    </row>
    <row r="5" spans="1:48" ht="21" x14ac:dyDescent="0.4">
      <c r="A5" s="221" t="str">
        <f>'Dropdown lists'!H3</f>
        <v>BASELOAD</v>
      </c>
      <c r="B5" s="11"/>
      <c r="C5" s="11"/>
      <c r="D5" s="11"/>
      <c r="E5" s="341"/>
      <c r="F5" s="341"/>
      <c r="G5" s="341"/>
      <c r="H5" s="341"/>
      <c r="I5" s="341"/>
      <c r="J5" s="341"/>
      <c r="K5" s="341"/>
      <c r="L5" s="341"/>
      <c r="M5" s="341"/>
      <c r="N5" s="341"/>
      <c r="O5" s="341"/>
      <c r="P5" s="341"/>
      <c r="Q5" s="341"/>
      <c r="R5" s="341"/>
      <c r="S5" s="341"/>
      <c r="T5" s="341"/>
      <c r="U5" s="341"/>
      <c r="V5" s="341"/>
      <c r="W5" s="341"/>
      <c r="X5" s="341"/>
      <c r="Y5" s="341"/>
      <c r="Z5" s="341"/>
      <c r="AA5" s="341"/>
      <c r="AB5" s="341"/>
      <c r="AC5" s="341"/>
      <c r="AD5" s="341"/>
      <c r="AE5" s="341"/>
      <c r="AF5" s="341"/>
      <c r="AG5" s="341"/>
      <c r="AH5" s="341"/>
      <c r="AI5" s="60"/>
      <c r="AJ5" s="60"/>
      <c r="AK5" s="60"/>
    </row>
    <row r="6" spans="1:48" ht="15.6" x14ac:dyDescent="0.3">
      <c r="A6" s="11"/>
      <c r="B6" s="11"/>
      <c r="C6" s="11"/>
      <c r="D6" s="11"/>
      <c r="E6" s="341">
        <v>2025</v>
      </c>
      <c r="F6" s="341">
        <v>2026</v>
      </c>
      <c r="G6" s="341">
        <v>2027</v>
      </c>
      <c r="H6" s="341">
        <v>2028</v>
      </c>
      <c r="I6" s="341">
        <v>2029</v>
      </c>
      <c r="J6" s="341">
        <v>2030</v>
      </c>
      <c r="K6" s="341">
        <v>2031</v>
      </c>
      <c r="L6" s="341">
        <v>2032</v>
      </c>
      <c r="M6" s="341">
        <v>2033</v>
      </c>
      <c r="N6" s="341">
        <v>2034</v>
      </c>
      <c r="O6" s="341">
        <v>2035</v>
      </c>
      <c r="P6" s="341">
        <v>2036</v>
      </c>
      <c r="Q6" s="341">
        <v>2037</v>
      </c>
      <c r="R6" s="341">
        <v>2038</v>
      </c>
      <c r="S6" s="341">
        <v>2039</v>
      </c>
      <c r="T6" s="341">
        <v>2040</v>
      </c>
      <c r="U6" s="341">
        <v>2041</v>
      </c>
      <c r="V6" s="341">
        <v>2042</v>
      </c>
      <c r="W6" s="341">
        <v>2043</v>
      </c>
      <c r="X6" s="341">
        <v>2044</v>
      </c>
      <c r="Y6" s="341">
        <v>2045</v>
      </c>
      <c r="Z6" s="341">
        <v>2046</v>
      </c>
      <c r="AA6" s="341">
        <v>2047</v>
      </c>
      <c r="AB6" s="341">
        <v>2048</v>
      </c>
      <c r="AC6" s="341">
        <v>2049</v>
      </c>
      <c r="AD6" s="341">
        <v>2050</v>
      </c>
      <c r="AE6" s="341">
        <v>2051</v>
      </c>
      <c r="AF6" s="341">
        <v>2052</v>
      </c>
      <c r="AG6" s="341">
        <v>2053</v>
      </c>
      <c r="AH6" s="341">
        <v>2054</v>
      </c>
      <c r="AI6" s="60"/>
      <c r="AJ6" s="60"/>
      <c r="AK6" s="60"/>
    </row>
    <row r="7" spans="1:48" ht="15.6" x14ac:dyDescent="0.3">
      <c r="A7" s="66" t="s">
        <v>80</v>
      </c>
      <c r="B7" s="11"/>
      <c r="C7" s="58"/>
      <c r="D7" s="58" t="s">
        <v>81</v>
      </c>
      <c r="E7" s="58">
        <v>1</v>
      </c>
      <c r="F7" s="58">
        <v>2</v>
      </c>
      <c r="G7" s="58">
        <v>3</v>
      </c>
      <c r="H7" s="58">
        <v>4</v>
      </c>
      <c r="I7" s="58">
        <v>5</v>
      </c>
      <c r="J7" s="58">
        <v>6</v>
      </c>
      <c r="K7" s="58">
        <v>7</v>
      </c>
      <c r="L7" s="58">
        <v>8</v>
      </c>
      <c r="M7" s="58">
        <v>9</v>
      </c>
      <c r="N7" s="58">
        <v>10</v>
      </c>
      <c r="O7" s="58">
        <v>11</v>
      </c>
      <c r="P7" s="58">
        <v>12</v>
      </c>
      <c r="Q7" s="58">
        <v>13</v>
      </c>
      <c r="R7" s="58">
        <v>14</v>
      </c>
      <c r="S7" s="58">
        <v>15</v>
      </c>
      <c r="T7" s="58">
        <v>16</v>
      </c>
      <c r="U7" s="58">
        <v>17</v>
      </c>
      <c r="V7" s="58">
        <v>18</v>
      </c>
      <c r="W7" s="58">
        <v>19</v>
      </c>
      <c r="X7" s="58">
        <v>20</v>
      </c>
      <c r="Y7" s="58">
        <v>21</v>
      </c>
      <c r="Z7" s="58">
        <v>22</v>
      </c>
      <c r="AA7" s="58">
        <v>23</v>
      </c>
      <c r="AB7" s="58">
        <v>24</v>
      </c>
      <c r="AC7" s="58">
        <v>25</v>
      </c>
      <c r="AD7" s="58">
        <v>26</v>
      </c>
      <c r="AE7" s="58">
        <v>27</v>
      </c>
      <c r="AF7" s="58">
        <v>28</v>
      </c>
      <c r="AG7" s="58">
        <v>29</v>
      </c>
      <c r="AH7" s="58">
        <v>30</v>
      </c>
      <c r="AI7" s="60"/>
      <c r="AJ7" s="60"/>
      <c r="AK7" s="60"/>
    </row>
    <row r="8" spans="1:48" ht="18" x14ac:dyDescent="0.3">
      <c r="A8" s="11" t="s">
        <v>82</v>
      </c>
      <c r="B8" s="11"/>
      <c r="C8" s="33"/>
      <c r="D8" s="33" t="s">
        <v>90</v>
      </c>
      <c r="E8" s="50">
        <f>'Achtergrond verbruiksprofielen'!$C$94</f>
        <v>3.2000000000000001E-2</v>
      </c>
      <c r="F8" s="50">
        <f>'Achtergrond verbruiksprofielen'!$C$94</f>
        <v>3.2000000000000001E-2</v>
      </c>
      <c r="G8" s="50">
        <f>'Achtergrond verbruiksprofielen'!$C$94</f>
        <v>3.2000000000000001E-2</v>
      </c>
      <c r="H8" s="50">
        <f>'Achtergrond verbruiksprofielen'!$C$94</f>
        <v>3.2000000000000001E-2</v>
      </c>
      <c r="I8" s="50">
        <f>'Achtergrond verbruiksprofielen'!$C$94</f>
        <v>3.2000000000000001E-2</v>
      </c>
      <c r="J8" s="50">
        <f>'Achtergrond verbruiksprofielen'!$C$94</f>
        <v>3.2000000000000001E-2</v>
      </c>
      <c r="K8" s="50">
        <f>'Achtergrond verbruiksprofielen'!$C$94</f>
        <v>3.2000000000000001E-2</v>
      </c>
      <c r="L8" s="50">
        <f>'Achtergrond verbruiksprofielen'!$C$94</f>
        <v>3.2000000000000001E-2</v>
      </c>
      <c r="M8" s="50">
        <f>'Achtergrond verbruiksprofielen'!$C$94</f>
        <v>3.2000000000000001E-2</v>
      </c>
      <c r="N8" s="50">
        <f>'Achtergrond verbruiksprofielen'!$C$94</f>
        <v>3.2000000000000001E-2</v>
      </c>
      <c r="O8" s="50">
        <f>'Achtergrond verbruiksprofielen'!$C$94</f>
        <v>3.2000000000000001E-2</v>
      </c>
      <c r="P8" s="50">
        <f>'Achtergrond verbruiksprofielen'!$C$94</f>
        <v>3.2000000000000001E-2</v>
      </c>
      <c r="Q8" s="50">
        <f>'Achtergrond verbruiksprofielen'!$C$94</f>
        <v>3.2000000000000001E-2</v>
      </c>
      <c r="R8" s="50">
        <f>'Achtergrond verbruiksprofielen'!$C$94</f>
        <v>3.2000000000000001E-2</v>
      </c>
      <c r="S8" s="50">
        <f>'Achtergrond verbruiksprofielen'!$C$94</f>
        <v>3.2000000000000001E-2</v>
      </c>
      <c r="T8" s="50">
        <f>'Achtergrond verbruiksprofielen'!$C$94</f>
        <v>3.2000000000000001E-2</v>
      </c>
      <c r="U8" s="50">
        <f>'Achtergrond verbruiksprofielen'!$C$94</f>
        <v>3.2000000000000001E-2</v>
      </c>
      <c r="V8" s="50">
        <f>'Achtergrond verbruiksprofielen'!$C$94</f>
        <v>3.2000000000000001E-2</v>
      </c>
      <c r="W8" s="50">
        <f>'Achtergrond verbruiksprofielen'!$C$94</f>
        <v>3.2000000000000001E-2</v>
      </c>
      <c r="X8" s="50">
        <f>'Achtergrond verbruiksprofielen'!$C$94</f>
        <v>3.2000000000000001E-2</v>
      </c>
      <c r="Y8" s="50">
        <f>'Achtergrond verbruiksprofielen'!$C$94</f>
        <v>3.2000000000000001E-2</v>
      </c>
      <c r="Z8" s="50">
        <f>'Achtergrond verbruiksprofielen'!$C$94</f>
        <v>3.2000000000000001E-2</v>
      </c>
      <c r="AA8" s="50">
        <f>'Achtergrond verbruiksprofielen'!$C$94</f>
        <v>3.2000000000000001E-2</v>
      </c>
      <c r="AB8" s="50">
        <f>'Achtergrond verbruiksprofielen'!$C$94</f>
        <v>3.2000000000000001E-2</v>
      </c>
      <c r="AC8" s="50">
        <f>'Achtergrond verbruiksprofielen'!$C$94</f>
        <v>3.2000000000000001E-2</v>
      </c>
      <c r="AD8" s="50">
        <f>'Achtergrond verbruiksprofielen'!$C$94</f>
        <v>3.2000000000000001E-2</v>
      </c>
      <c r="AE8" s="50">
        <f>'Achtergrond verbruiksprofielen'!$C$94</f>
        <v>3.2000000000000001E-2</v>
      </c>
      <c r="AF8" s="50">
        <f>'Achtergrond verbruiksprofielen'!$C$94</f>
        <v>3.2000000000000001E-2</v>
      </c>
      <c r="AG8" s="50">
        <f>'Achtergrond verbruiksprofielen'!$C$94</f>
        <v>3.2000000000000001E-2</v>
      </c>
      <c r="AH8" s="50">
        <f>'Achtergrond verbruiksprofielen'!$C$94</f>
        <v>3.2000000000000001E-2</v>
      </c>
      <c r="AI8" s="60"/>
      <c r="AJ8" s="60"/>
      <c r="AK8" s="60"/>
    </row>
    <row r="9" spans="1:48" ht="18" x14ac:dyDescent="0.4">
      <c r="A9" s="11" t="s">
        <v>178</v>
      </c>
      <c r="B9" s="11"/>
      <c r="C9" s="33"/>
      <c r="D9" s="223" t="s">
        <v>167</v>
      </c>
      <c r="E9" s="35">
        <v>0</v>
      </c>
      <c r="F9" s="35">
        <v>0</v>
      </c>
      <c r="G9" s="35">
        <v>0</v>
      </c>
      <c r="H9" s="35">
        <f>_xlfn.FORECAST.LINEAR(H$6,'Achtergrond verbruiksprofielen'!$C$10:$D$10,'Achtergrond verbruiksprofielen'!$C$8:$D$8)</f>
        <v>1.3999999999999346E-2</v>
      </c>
      <c r="I9" s="35">
        <f>_xlfn.FORECAST.LINEAR(I$6,'Achtergrond verbruiksprofielen'!$C$10:$D$10,'Achtergrond verbruiksprofielen'!$C$8:$D$8)</f>
        <v>1.7833333333332924E-2</v>
      </c>
      <c r="J9" s="35">
        <f>_xlfn.FORECAST.LINEAR(J$6,'Achtergrond verbruiksprofielen'!$C$10:$D$10,'Achtergrond verbruiksprofielen'!$C$8:$D$8)</f>
        <v>2.1666666666666501E-2</v>
      </c>
      <c r="K9" s="35">
        <f>_xlfn.FORECAST.LINEAR(K$6,'Achtergrond verbruiksprofielen'!$C$10:$D$10,'Achtergrond verbruiksprofielen'!$C$8:$D$8)</f>
        <v>2.5500000000000078E-2</v>
      </c>
      <c r="L9" s="35">
        <f>_xlfn.FORECAST.LINEAR(L$6,'Achtergrond verbruiksprofielen'!$C$10:$D$10,'Achtergrond verbruiksprofielen'!$C$8:$D$8)</f>
        <v>2.9333333333332767E-2</v>
      </c>
      <c r="M9" s="35">
        <f>_xlfn.FORECAST.LINEAR(M$6,'Achtergrond verbruiksprofielen'!$C$10:$D$10,'Achtergrond verbruiksprofielen'!$C$8:$D$8)</f>
        <v>3.3166666666666345E-2</v>
      </c>
      <c r="N9" s="35">
        <f>_xlfn.FORECAST.LINEAR(N$6,'Achtergrond verbruiksprofielen'!$C$10:$D$10,'Achtergrond verbruiksprofielen'!$C$8:$D$8)</f>
        <v>3.6999999999999922E-2</v>
      </c>
      <c r="O9" s="35">
        <f>_xlfn.FORECAST.LINEAR(O$6,'Achtergrond verbruiksprofielen'!$C$10:$D$10,'Achtergrond verbruiksprofielen'!$C$8:$D$8)</f>
        <v>4.0833333333333499E-2</v>
      </c>
      <c r="P9" s="35">
        <f>_xlfn.FORECAST.LINEAR(P$6,'Achtergrond verbruiksprofielen'!$C$10:$D$10,'Achtergrond verbruiksprofielen'!$C$8:$D$8)</f>
        <v>4.4666666666666188E-2</v>
      </c>
      <c r="Q9" s="35">
        <f>_xlfn.FORECAST.LINEAR(Q$6,'Achtergrond verbruiksprofielen'!$C$10:$D$10,'Achtergrond verbruiksprofielen'!$C$8:$D$8)</f>
        <v>4.8499999999999766E-2</v>
      </c>
      <c r="R9" s="35">
        <f>_xlfn.FORECAST.LINEAR(R$6,'Achtergrond verbruiksprofielen'!$C$10:$D$10,'Achtergrond verbruiksprofielen'!$C$8:$D$8)</f>
        <v>5.2333333333333343E-2</v>
      </c>
      <c r="S9" s="35">
        <f>_xlfn.FORECAST.LINEAR(S$6,'Achtergrond verbruiksprofielen'!$C$10:$D$10,'Achtergrond verbruiksprofielen'!$C$8:$D$8)</f>
        <v>5.6166666666666032E-2</v>
      </c>
      <c r="T9" s="35">
        <f>_xlfn.FORECAST.LINEAR(T$6,'Achtergrond verbruiksprofielen'!$C$10:$D$10,'Achtergrond verbruiksprofielen'!$C$8:$D$8)</f>
        <v>5.9999999999999609E-2</v>
      </c>
      <c r="U9" s="35">
        <f>_xlfn.FORECAST.LINEAR(U$6,'Achtergrond verbruiksprofielen'!$C$10:$D$10,'Achtergrond verbruiksprofielen'!$C$8:$D$8)</f>
        <v>6.3833333333333186E-2</v>
      </c>
      <c r="V9" s="35">
        <f>_xlfn.FORECAST.LINEAR(V$6,'Achtergrond verbruiksprofielen'!$C$10:$D$10,'Achtergrond verbruiksprofielen'!$C$8:$D$8)</f>
        <v>6.7666666666666764E-2</v>
      </c>
      <c r="W9" s="35">
        <f>_xlfn.FORECAST.LINEAR(W$6,'Achtergrond verbruiksprofielen'!$C$10:$D$10,'Achtergrond verbruiksprofielen'!$C$8:$D$8)</f>
        <v>7.1499999999999453E-2</v>
      </c>
      <c r="X9" s="35">
        <f>_xlfn.FORECAST.LINEAR(X$6,'Achtergrond verbruiksprofielen'!$C$10:$D$10,'Achtergrond verbruiksprofielen'!$C$8:$D$8)</f>
        <v>7.533333333333303E-2</v>
      </c>
      <c r="Y9" s="35">
        <f>_xlfn.FORECAST.LINEAR(Y$6,'Achtergrond verbruiksprofielen'!$C$10:$D$10,'Achtergrond verbruiksprofielen'!$C$8:$D$8)</f>
        <v>7.9166666666666607E-2</v>
      </c>
      <c r="Z9" s="35">
        <f>_xlfn.FORECAST.LINEAR(Z$6,'Achtergrond verbruiksprofielen'!$C$10:$D$10,'Achtergrond verbruiksprofielen'!$C$8:$D$8)</f>
        <v>8.3000000000000185E-2</v>
      </c>
      <c r="AA9" s="35">
        <f>_xlfn.FORECAST.LINEAR(AA$6,'Achtergrond verbruiksprofielen'!$C$10:$D$10,'Achtergrond verbruiksprofielen'!$C$8:$D$8)</f>
        <v>8.6833333333332874E-2</v>
      </c>
      <c r="AB9" s="35">
        <f>_xlfn.FORECAST.LINEAR(AB$6,'Achtergrond verbruiksprofielen'!$C$10:$D$10,'Achtergrond verbruiksprofielen'!$C$8:$D$8)</f>
        <v>9.0666666666666451E-2</v>
      </c>
      <c r="AC9" s="35">
        <f>_xlfn.FORECAST.LINEAR(AC$6,'Achtergrond verbruiksprofielen'!$C$10:$D$10,'Achtergrond verbruiksprofielen'!$C$8:$D$8)</f>
        <v>9.4500000000000028E-2</v>
      </c>
      <c r="AD9" s="35">
        <f>'Achtergrond verbruiksprofielen'!$D$10</f>
        <v>0.06</v>
      </c>
      <c r="AE9" s="35">
        <f>'Achtergrond verbruiksprofielen'!$D$10</f>
        <v>0.06</v>
      </c>
      <c r="AF9" s="35">
        <f>'Achtergrond verbruiksprofielen'!$D$10</f>
        <v>0.06</v>
      </c>
      <c r="AG9" s="35">
        <f>'Achtergrond verbruiksprofielen'!$D$10</f>
        <v>0.06</v>
      </c>
      <c r="AH9" s="35">
        <f>'Achtergrond verbruiksprofielen'!$D$10</f>
        <v>0.06</v>
      </c>
      <c r="AI9" s="60"/>
      <c r="AJ9" s="60"/>
      <c r="AK9" s="60"/>
    </row>
    <row r="10" spans="1:48" ht="18" x14ac:dyDescent="0.3">
      <c r="A10" s="11" t="s">
        <v>86</v>
      </c>
      <c r="B10" s="11"/>
      <c r="C10" s="33"/>
      <c r="D10" s="33" t="s">
        <v>62</v>
      </c>
      <c r="E10" s="35">
        <f>'Achtergrond verbruiksprofielen'!$C$14</f>
        <v>0.1</v>
      </c>
      <c r="F10" s="35">
        <f>'Achtergrond verbruiksprofielen'!$C$14+(F6-'Achtergrond verbruiksprofielen'!$C$12)*('Achtergrond verbruiksprofielen'!$D$14-'Achtergrond verbruiksprofielen'!$C$14)/('Achtergrond verbruiksprofielen'!$D$12-'Achtergrond verbruiksprofielen'!$C$12)</f>
        <v>0.10083623346459537</v>
      </c>
      <c r="G10" s="35">
        <f>'Achtergrond verbruiksprofielen'!$C$14+(G6-'Achtergrond verbruiksprofielen'!$C$12)*('Achtergrond verbruiksprofielen'!$D$14-'Achtergrond verbruiksprofielen'!$C$14)/('Achtergrond verbruiksprofielen'!$D$12-'Achtergrond verbruiksprofielen'!$C$12)</f>
        <v>0.10167246692919074</v>
      </c>
      <c r="H10" s="35">
        <f>'Achtergrond verbruiksprofielen'!$C$14+(H6-'Achtergrond verbruiksprofielen'!$C$12)*('Achtergrond verbruiksprofielen'!$D$14-'Achtergrond verbruiksprofielen'!$C$14)/('Achtergrond verbruiksprofielen'!$D$12-'Achtergrond verbruiksprofielen'!$C$12)</f>
        <v>0.1025087003937861</v>
      </c>
      <c r="I10" s="35">
        <f>'Achtergrond verbruiksprofielen'!$C$14+(I6-'Achtergrond verbruiksprofielen'!$C$12)*('Achtergrond verbruiksprofielen'!$D$14-'Achtergrond verbruiksprofielen'!$C$14)/('Achtergrond verbruiksprofielen'!$D$12-'Achtergrond verbruiksprofielen'!$C$12)</f>
        <v>0.10334493385838146</v>
      </c>
      <c r="J10" s="35">
        <f>'Achtergrond verbruiksprofielen'!$D$14</f>
        <v>0.10418116732297683</v>
      </c>
      <c r="K10" s="35">
        <f>'Achtergrond verbruiksprofielen'!$D$14+(K6-'Achtergrond verbruiksprofielen'!$D$12)*('Achtergrond verbruiksprofielen'!$E$14-'Achtergrond verbruiksprofielen'!$D$14)/('Achtergrond verbruiksprofielen'!$E$12-'Achtergrond verbruiksprofielen'!$D$12)</f>
        <v>0.10527877274095464</v>
      </c>
      <c r="L10" s="35">
        <f>'Achtergrond verbruiksprofielen'!$D$14+(L6-'Achtergrond verbruiksprofielen'!$D$12)*('Achtergrond verbruiksprofielen'!$E$14-'Achtergrond verbruiksprofielen'!$D$14)/('Achtergrond verbruiksprofielen'!$E$12-'Achtergrond verbruiksprofielen'!$D$12)</f>
        <v>0.10637637815893244</v>
      </c>
      <c r="M10" s="35">
        <f>'Achtergrond verbruiksprofielen'!$D$14+(M6-'Achtergrond verbruiksprofielen'!$D$12)*('Achtergrond verbruiksprofielen'!$E$14-'Achtergrond verbruiksprofielen'!$D$14)/('Achtergrond verbruiksprofielen'!$E$12-'Achtergrond verbruiksprofielen'!$D$12)</f>
        <v>0.10747398357691026</v>
      </c>
      <c r="N10" s="35">
        <f>'Achtergrond verbruiksprofielen'!$D$14+(N6-'Achtergrond verbruiksprofielen'!$D$12)*('Achtergrond verbruiksprofielen'!$E$14-'Achtergrond verbruiksprofielen'!$D$14)/('Achtergrond verbruiksprofielen'!$E$12-'Achtergrond verbruiksprofielen'!$D$12)</f>
        <v>0.10857158899488807</v>
      </c>
      <c r="O10" s="35">
        <f>'Achtergrond verbruiksprofielen'!$E$14</f>
        <v>0.10966919441286588</v>
      </c>
      <c r="P10" s="35">
        <f>'Achtergrond verbruiksprofielen'!$E$14+(P6-'Achtergrond verbruiksprofielen'!$E$12)*('Achtergrond verbruiksprofielen'!$F$14-'Achtergrond verbruiksprofielen'!$E$14)/('Achtergrond verbruiksprofielen'!$F$12-'Achtergrond verbruiksprofielen'!$E$12)</f>
        <v>0.10867629495000843</v>
      </c>
      <c r="Q10" s="35">
        <f>'Achtergrond verbruiksprofielen'!$E$14+(Q6-'Achtergrond verbruiksprofielen'!$E$12)*('Achtergrond verbruiksprofielen'!$F$14-'Achtergrond verbruiksprofielen'!$E$14)/('Achtergrond verbruiksprofielen'!$F$12-'Achtergrond verbruiksprofielen'!$E$12)</f>
        <v>0.10768339548715097</v>
      </c>
      <c r="R10" s="35">
        <f>'Achtergrond verbruiksprofielen'!$E$14+(R6-'Achtergrond verbruiksprofielen'!$E$12)*('Achtergrond verbruiksprofielen'!$F$14-'Achtergrond verbruiksprofielen'!$E$14)/('Achtergrond verbruiksprofielen'!$F$12-'Achtergrond verbruiksprofielen'!$E$12)</f>
        <v>0.10669049602429351</v>
      </c>
      <c r="S10" s="35">
        <f>'Achtergrond verbruiksprofielen'!$E$14+(S6-'Achtergrond verbruiksprofielen'!$E$12)*('Achtergrond verbruiksprofielen'!$F$14-'Achtergrond verbruiksprofielen'!$E$14)/('Achtergrond verbruiksprofielen'!$F$12-'Achtergrond verbruiksprofielen'!$E$12)</f>
        <v>0.10569759656143606</v>
      </c>
      <c r="T10" s="35">
        <f>'Achtergrond verbruiksprofielen'!$F$14</f>
        <v>0.1047046970985786</v>
      </c>
      <c r="U10" s="35">
        <f>'Achtergrond verbruiksprofielen'!$F$14+(U6-'Achtergrond verbruiksprofielen'!$F$12)*('Achtergrond verbruiksprofielen'!$G$14-'Achtergrond verbruiksprofielen'!$F$14)/('Achtergrond verbruiksprofielen'!$G$12-'Achtergrond verbruiksprofielen'!$F$12)</f>
        <v>0.10078712820005409</v>
      </c>
      <c r="V10" s="35">
        <f>'Achtergrond verbruiksprofielen'!$F$14+(V6-'Achtergrond verbruiksprofielen'!$F$12)*('Achtergrond verbruiksprofielen'!$G$14-'Achtergrond verbruiksprofielen'!$F$14)/('Achtergrond verbruiksprofielen'!$G$12-'Achtergrond verbruiksprofielen'!$F$12)</f>
        <v>9.6869559301529573E-2</v>
      </c>
      <c r="W10" s="35">
        <f>'Achtergrond verbruiksprofielen'!$F$14+(W6-'Achtergrond verbruiksprofielen'!$F$12)*('Achtergrond verbruiksprofielen'!$G$14-'Achtergrond verbruiksprofielen'!$F$14)/('Achtergrond verbruiksprofielen'!$G$12-'Achtergrond verbruiksprofielen'!$F$12)</f>
        <v>9.2951990403005044E-2</v>
      </c>
      <c r="X10" s="35">
        <f>'Achtergrond verbruiksprofielen'!$F$14+(X6-'Achtergrond verbruiksprofielen'!$F$12)*('Achtergrond verbruiksprofielen'!$G$14-'Achtergrond verbruiksprofielen'!$F$14)/('Achtergrond verbruiksprofielen'!$G$12-'Achtergrond verbruiksprofielen'!$F$12)</f>
        <v>8.9034421504480529E-2</v>
      </c>
      <c r="Y10" s="35">
        <f>'Achtergrond verbruiksprofielen'!$G$14</f>
        <v>8.5116852605956014E-2</v>
      </c>
      <c r="Z10" s="35">
        <f>'Achtergrond verbruiksprofielen'!$G$14+(Z6-'Achtergrond verbruiksprofielen'!$G$12)*('Achtergrond verbruiksprofielen'!$H$14-'Achtergrond verbruiksprofielen'!$G$14)/('Achtergrond verbruiksprofielen'!$H$12-'Achtergrond verbruiksprofielen'!$G$12)</f>
        <v>8.7028101612823011E-2</v>
      </c>
      <c r="AA10" s="35">
        <f>'Achtergrond verbruiksprofielen'!$G$14+(AA6-'Achtergrond verbruiksprofielen'!$G$12)*('Achtergrond verbruiksprofielen'!$H$14-'Achtergrond verbruiksprofielen'!$G$14)/('Achtergrond verbruiksprofielen'!$H$12-'Achtergrond verbruiksprofielen'!$G$12)</f>
        <v>8.8939350619689994E-2</v>
      </c>
      <c r="AB10" s="35">
        <f>'Achtergrond verbruiksprofielen'!$G$14+(AB6-'Achtergrond verbruiksprofielen'!$G$12)*('Achtergrond verbruiksprofielen'!$H$14-'Achtergrond verbruiksprofielen'!$G$14)/('Achtergrond verbruiksprofielen'!$H$12-'Achtergrond verbruiksprofielen'!$G$12)</f>
        <v>9.0850599626556991E-2</v>
      </c>
      <c r="AC10" s="35">
        <f>'Achtergrond verbruiksprofielen'!$G$14+(AC6-'Achtergrond verbruiksprofielen'!$G$12)*('Achtergrond verbruiksprofielen'!$H$14-'Achtergrond verbruiksprofielen'!$G$14)/('Achtergrond verbruiksprofielen'!$H$12-'Achtergrond verbruiksprofielen'!$G$12)</f>
        <v>9.2761848633423974E-2</v>
      </c>
      <c r="AD10" s="35">
        <f>'Achtergrond verbruiksprofielen'!$H$14</f>
        <v>9.4673097640290971E-2</v>
      </c>
      <c r="AE10" s="35">
        <f>'Achtergrond verbruiksprofielen'!$H$14</f>
        <v>9.4673097640290971E-2</v>
      </c>
      <c r="AF10" s="35">
        <f>'Achtergrond verbruiksprofielen'!$H$14</f>
        <v>9.4673097640290971E-2</v>
      </c>
      <c r="AG10" s="35">
        <f>'Achtergrond verbruiksprofielen'!$H$14</f>
        <v>9.4673097640290971E-2</v>
      </c>
      <c r="AH10" s="35">
        <f>'Achtergrond verbruiksprofielen'!$H$14</f>
        <v>9.4673097640290971E-2</v>
      </c>
      <c r="AI10" s="60"/>
      <c r="AJ10" s="60"/>
      <c r="AK10" s="60"/>
    </row>
    <row r="11" spans="1:48" ht="15.6" x14ac:dyDescent="0.3">
      <c r="A11" s="11" t="s">
        <v>87</v>
      </c>
      <c r="B11" s="11"/>
      <c r="C11" s="33"/>
      <c r="D11" s="33" t="s">
        <v>88</v>
      </c>
      <c r="E11" s="361">
        <f>'Achtergrond verbruiksprofielen'!$C$15</f>
        <v>8000</v>
      </c>
      <c r="F11" s="361">
        <f>'Achtergrond verbruiksprofielen'!$C$15+(F6-'Achtergrond verbruiksprofielen'!$C$12)*('Achtergrond verbruiksprofielen'!$D$15-'Achtergrond verbruiksprofielen'!$C$15)/('Achtergrond verbruiksprofielen'!$D$12-'Achtergrond verbruiksprofielen'!$C$12)</f>
        <v>8000</v>
      </c>
      <c r="G11" s="361">
        <f>'Achtergrond verbruiksprofielen'!$C$15+(G6-'Achtergrond verbruiksprofielen'!$C$12)*('Achtergrond verbruiksprofielen'!$D$15-'Achtergrond verbruiksprofielen'!$C$15)/('Achtergrond verbruiksprofielen'!$D$12-'Achtergrond verbruiksprofielen'!$C$12)</f>
        <v>8000</v>
      </c>
      <c r="H11" s="361">
        <f>'Achtergrond verbruiksprofielen'!$C$15+(H6-'Achtergrond verbruiksprofielen'!$C$12)*('Achtergrond verbruiksprofielen'!$D$15-'Achtergrond verbruiksprofielen'!$C$15)/('Achtergrond verbruiksprofielen'!$D$12-'Achtergrond verbruiksprofielen'!$C$12)</f>
        <v>8000</v>
      </c>
      <c r="I11" s="361">
        <f>'Achtergrond verbruiksprofielen'!$C$15+(I6-'Achtergrond verbruiksprofielen'!$C$12)*('Achtergrond verbruiksprofielen'!$D$15-'Achtergrond verbruiksprofielen'!$C$15)/('Achtergrond verbruiksprofielen'!$D$12-'Achtergrond verbruiksprofielen'!$C$12)</f>
        <v>8000</v>
      </c>
      <c r="J11" s="361">
        <f>'Achtergrond verbruiksprofielen'!$D$15</f>
        <v>8000</v>
      </c>
      <c r="K11" s="361">
        <f>'Achtergrond verbruiksprofielen'!$D$15+(K6-'Achtergrond verbruiksprofielen'!$D$12)*('Achtergrond verbruiksprofielen'!$E$15-'Achtergrond verbruiksprofielen'!$D$15)/('Achtergrond verbruiksprofielen'!$E$12-'Achtergrond verbruiksprofielen'!$D$12)</f>
        <v>8000</v>
      </c>
      <c r="L11" s="361">
        <f>'Achtergrond verbruiksprofielen'!$D$15+(L6-'Achtergrond verbruiksprofielen'!$D$12)*('Achtergrond verbruiksprofielen'!$E$15-'Achtergrond verbruiksprofielen'!$D$15)/('Achtergrond verbruiksprofielen'!$E$12-'Achtergrond verbruiksprofielen'!$D$12)</f>
        <v>8000</v>
      </c>
      <c r="M11" s="361">
        <f>'Achtergrond verbruiksprofielen'!$D$15+(M6-'Achtergrond verbruiksprofielen'!$D$12)*('Achtergrond verbruiksprofielen'!$E$15-'Achtergrond verbruiksprofielen'!$D$15)/('Achtergrond verbruiksprofielen'!$E$12-'Achtergrond verbruiksprofielen'!$D$12)</f>
        <v>8000</v>
      </c>
      <c r="N11" s="361">
        <f>'Achtergrond verbruiksprofielen'!$D$15+(N6-'Achtergrond verbruiksprofielen'!$D$12)*('Achtergrond verbruiksprofielen'!$E$15-'Achtergrond verbruiksprofielen'!$D$15)/('Achtergrond verbruiksprofielen'!$E$12-'Achtergrond verbruiksprofielen'!$D$12)</f>
        <v>8000</v>
      </c>
      <c r="O11" s="361">
        <f>'Achtergrond verbruiksprofielen'!$E$15</f>
        <v>8000</v>
      </c>
      <c r="P11" s="361">
        <f>'Achtergrond verbruiksprofielen'!$E$15+(P6-'Achtergrond verbruiksprofielen'!$E$12)*('Achtergrond verbruiksprofielen'!$F$15-'Achtergrond verbruiksprofielen'!$E$15)/('Achtergrond verbruiksprofielen'!$F$12-'Achtergrond verbruiksprofielen'!$E$12)</f>
        <v>8000</v>
      </c>
      <c r="Q11" s="361">
        <f>'Achtergrond verbruiksprofielen'!$E$15+(Q6-'Achtergrond verbruiksprofielen'!$E$12)*('Achtergrond verbruiksprofielen'!$F$15-'Achtergrond verbruiksprofielen'!$E$15)/('Achtergrond verbruiksprofielen'!$F$12-'Achtergrond verbruiksprofielen'!$E$12)</f>
        <v>8000</v>
      </c>
      <c r="R11" s="361">
        <f>'Achtergrond verbruiksprofielen'!$E$15+(R6-'Achtergrond verbruiksprofielen'!$E$12)*('Achtergrond verbruiksprofielen'!$F$15-'Achtergrond verbruiksprofielen'!$E$15)/('Achtergrond verbruiksprofielen'!$F$12-'Achtergrond verbruiksprofielen'!$E$12)</f>
        <v>8000</v>
      </c>
      <c r="S11" s="361">
        <f>'Achtergrond verbruiksprofielen'!$E$15+(S6-'Achtergrond verbruiksprofielen'!$E$12)*('Achtergrond verbruiksprofielen'!$F$15-'Achtergrond verbruiksprofielen'!$E$15)/('Achtergrond verbruiksprofielen'!$F$12-'Achtergrond verbruiksprofielen'!$E$12)</f>
        <v>8000</v>
      </c>
      <c r="T11" s="361">
        <f>'Achtergrond verbruiksprofielen'!$F$15</f>
        <v>8000</v>
      </c>
      <c r="U11" s="361">
        <f>'Achtergrond verbruiksprofielen'!$F$15+(U6-'Achtergrond verbruiksprofielen'!$F$12)*('Achtergrond verbruiksprofielen'!$G$15-'Achtergrond verbruiksprofielen'!$F$15)/('Achtergrond verbruiksprofielen'!$G$12-'Achtergrond verbruiksprofielen'!$F$12)</f>
        <v>8000</v>
      </c>
      <c r="V11" s="361">
        <f>'Achtergrond verbruiksprofielen'!$F$15+(V6-'Achtergrond verbruiksprofielen'!$F$12)*('Achtergrond verbruiksprofielen'!$G$15-'Achtergrond verbruiksprofielen'!$F$15)/('Achtergrond verbruiksprofielen'!$G$12-'Achtergrond verbruiksprofielen'!$F$12)</f>
        <v>8000</v>
      </c>
      <c r="W11" s="361">
        <f>'Achtergrond verbruiksprofielen'!$F$15+(W6-'Achtergrond verbruiksprofielen'!$F$12)*('Achtergrond verbruiksprofielen'!$G$15-'Achtergrond verbruiksprofielen'!$F$15)/('Achtergrond verbruiksprofielen'!$G$12-'Achtergrond verbruiksprofielen'!$F$12)</f>
        <v>8000</v>
      </c>
      <c r="X11" s="361">
        <f>'Achtergrond verbruiksprofielen'!$F$15+(X6-'Achtergrond verbruiksprofielen'!$F$12)*('Achtergrond verbruiksprofielen'!$G$15-'Achtergrond verbruiksprofielen'!$F$15)/('Achtergrond verbruiksprofielen'!$G$12-'Achtergrond verbruiksprofielen'!$F$12)</f>
        <v>8000</v>
      </c>
      <c r="Y11" s="361">
        <f>'Achtergrond verbruiksprofielen'!$G$15</f>
        <v>8000</v>
      </c>
      <c r="Z11" s="361">
        <f>'Achtergrond verbruiksprofielen'!$G$15+(Z6-'Achtergrond verbruiksprofielen'!$G$12)*('Achtergrond verbruiksprofielen'!$H$15-'Achtergrond verbruiksprofielen'!$G$15)/('Achtergrond verbruiksprofielen'!$H$12-'Achtergrond verbruiksprofielen'!$G$12)</f>
        <v>8000</v>
      </c>
      <c r="AA11" s="361">
        <f>'Achtergrond verbruiksprofielen'!$G$15+(AA6-'Achtergrond verbruiksprofielen'!$G$12)*('Achtergrond verbruiksprofielen'!$H$15-'Achtergrond verbruiksprofielen'!$G$15)/('Achtergrond verbruiksprofielen'!$H$12-'Achtergrond verbruiksprofielen'!$G$12)</f>
        <v>8000</v>
      </c>
      <c r="AB11" s="361">
        <f>'Achtergrond verbruiksprofielen'!$G$15+(AB6-'Achtergrond verbruiksprofielen'!$G$12)*('Achtergrond verbruiksprofielen'!$H$15-'Achtergrond verbruiksprofielen'!$G$15)/('Achtergrond verbruiksprofielen'!$H$12-'Achtergrond verbruiksprofielen'!$G$12)</f>
        <v>8000</v>
      </c>
      <c r="AC11" s="361">
        <f>'Achtergrond verbruiksprofielen'!$G$15+(AC6-'Achtergrond verbruiksprofielen'!$G$12)*('Achtergrond verbruiksprofielen'!$H$15-'Achtergrond verbruiksprofielen'!$G$15)/('Achtergrond verbruiksprofielen'!$H$12-'Achtergrond verbruiksprofielen'!$G$12)</f>
        <v>8000</v>
      </c>
      <c r="AD11" s="361">
        <f>'Achtergrond verbruiksprofielen'!$H$15</f>
        <v>8000</v>
      </c>
      <c r="AE11" s="361">
        <f>'Achtergrond verbruiksprofielen'!$H$15</f>
        <v>8000</v>
      </c>
      <c r="AF11" s="361">
        <f>'Achtergrond verbruiksprofielen'!$H$15</f>
        <v>8000</v>
      </c>
      <c r="AG11" s="361">
        <f>'Achtergrond verbruiksprofielen'!$H$15</f>
        <v>8000</v>
      </c>
      <c r="AH11" s="361">
        <f>'Achtergrond verbruiksprofielen'!$H$15</f>
        <v>8000</v>
      </c>
      <c r="AI11" s="60"/>
      <c r="AJ11" s="60"/>
      <c r="AK11" s="60"/>
    </row>
    <row r="12" spans="1:48" ht="15.6" x14ac:dyDescent="0.3">
      <c r="A12" s="11"/>
      <c r="B12" s="11"/>
      <c r="C12" s="11"/>
      <c r="D12" s="11"/>
      <c r="E12" s="341"/>
      <c r="F12" s="341"/>
      <c r="G12" s="341"/>
      <c r="H12" s="341"/>
      <c r="I12" s="341"/>
      <c r="J12" s="341"/>
      <c r="K12" s="341"/>
      <c r="L12" s="341"/>
      <c r="M12" s="341"/>
      <c r="N12" s="341"/>
      <c r="O12" s="341"/>
      <c r="P12" s="341"/>
      <c r="Q12" s="341"/>
      <c r="R12" s="341"/>
      <c r="S12" s="341"/>
      <c r="T12" s="341"/>
      <c r="U12" s="341"/>
      <c r="V12" s="341"/>
      <c r="W12" s="341"/>
      <c r="X12" s="341"/>
      <c r="Y12" s="341"/>
      <c r="Z12" s="341"/>
      <c r="AA12" s="341"/>
      <c r="AB12" s="341"/>
      <c r="AC12" s="341"/>
      <c r="AD12" s="341"/>
      <c r="AE12" s="341"/>
      <c r="AF12" s="341"/>
      <c r="AG12" s="341"/>
      <c r="AH12" s="341"/>
      <c r="AI12" s="60"/>
      <c r="AJ12" s="60"/>
      <c r="AK12" s="60"/>
    </row>
    <row r="13" spans="1:48" ht="15.6" x14ac:dyDescent="0.3">
      <c r="A13" s="66" t="s">
        <v>89</v>
      </c>
      <c r="B13" s="11"/>
      <c r="C13" s="11"/>
      <c r="D13" s="58" t="s">
        <v>81</v>
      </c>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60"/>
      <c r="AJ13" s="60"/>
      <c r="AK13" s="60"/>
    </row>
    <row r="14" spans="1:48" ht="18" x14ac:dyDescent="0.3">
      <c r="A14" s="11" t="s">
        <v>82</v>
      </c>
      <c r="B14" s="11"/>
      <c r="C14" s="11"/>
      <c r="D14" s="33" t="s">
        <v>90</v>
      </c>
      <c r="E14" s="50">
        <f>'Achtergrond verbruiksprofielen'!$C$50</f>
        <v>2.4E-2</v>
      </c>
      <c r="F14" s="50">
        <f>'Achtergrond verbruiksprofielen'!$C$50</f>
        <v>2.4E-2</v>
      </c>
      <c r="G14" s="50">
        <f>'Achtergrond verbruiksprofielen'!$C$50</f>
        <v>2.4E-2</v>
      </c>
      <c r="H14" s="50">
        <f>'Achtergrond verbruiksprofielen'!$C$50</f>
        <v>2.4E-2</v>
      </c>
      <c r="I14" s="50">
        <f>'Achtergrond verbruiksprofielen'!$C$50</f>
        <v>2.4E-2</v>
      </c>
      <c r="J14" s="50">
        <f>'Achtergrond verbruiksprofielen'!$C$50</f>
        <v>2.4E-2</v>
      </c>
      <c r="K14" s="50">
        <f>'Achtergrond verbruiksprofielen'!$C$50</f>
        <v>2.4E-2</v>
      </c>
      <c r="L14" s="50">
        <f>'Achtergrond verbruiksprofielen'!$C$50</f>
        <v>2.4E-2</v>
      </c>
      <c r="M14" s="50">
        <f>'Achtergrond verbruiksprofielen'!$C$50</f>
        <v>2.4E-2</v>
      </c>
      <c r="N14" s="50">
        <f>'Achtergrond verbruiksprofielen'!$C$50</f>
        <v>2.4E-2</v>
      </c>
      <c r="O14" s="50">
        <f>'Achtergrond verbruiksprofielen'!$C$50</f>
        <v>2.4E-2</v>
      </c>
      <c r="P14" s="50">
        <f>'Achtergrond verbruiksprofielen'!$C$50</f>
        <v>2.4E-2</v>
      </c>
      <c r="Q14" s="50">
        <f>'Achtergrond verbruiksprofielen'!$C$50</f>
        <v>2.4E-2</v>
      </c>
      <c r="R14" s="50">
        <f>'Achtergrond verbruiksprofielen'!$C$50</f>
        <v>2.4E-2</v>
      </c>
      <c r="S14" s="50">
        <f>'Achtergrond verbruiksprofielen'!$C$50</f>
        <v>2.4E-2</v>
      </c>
      <c r="T14" s="50">
        <f>'Achtergrond verbruiksprofielen'!$C$50</f>
        <v>2.4E-2</v>
      </c>
      <c r="U14" s="50">
        <f>'Achtergrond verbruiksprofielen'!$C$50</f>
        <v>2.4E-2</v>
      </c>
      <c r="V14" s="50">
        <f>'Achtergrond verbruiksprofielen'!$C$50</f>
        <v>2.4E-2</v>
      </c>
      <c r="W14" s="50">
        <f>'Achtergrond verbruiksprofielen'!$C$50</f>
        <v>2.4E-2</v>
      </c>
      <c r="X14" s="50">
        <f>'Achtergrond verbruiksprofielen'!$C$50</f>
        <v>2.4E-2</v>
      </c>
      <c r="Y14" s="50">
        <f>'Achtergrond verbruiksprofielen'!$C$50</f>
        <v>2.4E-2</v>
      </c>
      <c r="Z14" s="50">
        <f>'Achtergrond verbruiksprofielen'!$C$50</f>
        <v>2.4E-2</v>
      </c>
      <c r="AA14" s="50">
        <f>'Achtergrond verbruiksprofielen'!$C$50</f>
        <v>2.4E-2</v>
      </c>
      <c r="AB14" s="50">
        <f>'Achtergrond verbruiksprofielen'!$C$50</f>
        <v>2.4E-2</v>
      </c>
      <c r="AC14" s="50">
        <f>'Achtergrond verbruiksprofielen'!$C$50</f>
        <v>2.4E-2</v>
      </c>
      <c r="AD14" s="50">
        <f>'Achtergrond verbruiksprofielen'!$C$50</f>
        <v>2.4E-2</v>
      </c>
      <c r="AE14" s="50">
        <f>'Achtergrond verbruiksprofielen'!$C$50</f>
        <v>2.4E-2</v>
      </c>
      <c r="AF14" s="50">
        <f>'Achtergrond verbruiksprofielen'!$C$50</f>
        <v>2.4E-2</v>
      </c>
      <c r="AG14" s="50">
        <f>'Achtergrond verbruiksprofielen'!$C$50</f>
        <v>2.4E-2</v>
      </c>
      <c r="AH14" s="50">
        <f>'Achtergrond verbruiksprofielen'!$C$50</f>
        <v>2.4E-2</v>
      </c>
      <c r="AI14" s="60"/>
      <c r="AJ14" s="60"/>
      <c r="AK14" s="60"/>
    </row>
    <row r="15" spans="1:48" ht="18" x14ac:dyDescent="0.4">
      <c r="A15" s="11" t="s">
        <v>178</v>
      </c>
      <c r="B15" s="11"/>
      <c r="C15" s="11"/>
      <c r="D15" s="223" t="s">
        <v>167</v>
      </c>
      <c r="E15" s="35">
        <v>0</v>
      </c>
      <c r="F15" s="35">
        <v>0</v>
      </c>
      <c r="G15" s="35">
        <v>0</v>
      </c>
      <c r="H15" s="35">
        <f>_xlfn.FORECAST.LINEAR(H$6,'Achtergrond verbruiksprofielen'!$C$54:$D$54,'Achtergrond verbruiksprofielen'!$C$52:$D$52)</f>
        <v>8.0000000000008953E-3</v>
      </c>
      <c r="I15" s="35">
        <f>_xlfn.FORECAST.LINEAR(I$6,'Achtergrond verbruiksprofielen'!$C$54:$D$54,'Achtergrond verbruiksprofielen'!$C$52:$D$52)</f>
        <v>1.3999999999999346E-2</v>
      </c>
      <c r="J15" s="35">
        <f>'Achtergrond verbruiksprofielen'!$D$54</f>
        <v>0.02</v>
      </c>
      <c r="K15" s="35">
        <f>_xlfn.FORECAST.LINEAR(K$6,'Achtergrond verbruiksprofielen'!$D$54:$E$54,'Achtergrond verbruiksprofielen'!$D$52:$E$52)</f>
        <v>2.3999999999999133E-2</v>
      </c>
      <c r="L15" s="35">
        <f>_xlfn.FORECAST.LINEAR(L$6,'Achtergrond verbruiksprofielen'!$D$54:$E$54,'Achtergrond verbruiksprofielen'!$D$52:$E$52)</f>
        <v>2.7999999999998693E-2</v>
      </c>
      <c r="M15" s="35">
        <f>_xlfn.FORECAST.LINEAR(M$6,'Achtergrond verbruiksprofielen'!$D$54:$E$54,'Achtergrond verbruiksprofielen'!$D$52:$E$52)</f>
        <v>3.1999999999998252E-2</v>
      </c>
      <c r="N15" s="35">
        <f>_xlfn.FORECAST.LINEAR(N$6,'Achtergrond verbruiksprofielen'!$D$54:$E$54,'Achtergrond verbruiksprofielen'!$D$52:$E$52)</f>
        <v>3.5999999999999588E-2</v>
      </c>
      <c r="O15" s="35">
        <f>'Achtergrond verbruiksprofielen'!$E$54</f>
        <v>0.04</v>
      </c>
      <c r="P15" s="35">
        <f>_xlfn.FORECAST.LINEAR(P$6,'Achtergrond verbruiksprofielen'!$E$54:$F$54,'Achtergrond verbruiksprofielen'!$E$52:$F$52)</f>
        <v>4.4000000000000483E-2</v>
      </c>
      <c r="Q15" s="35">
        <f>_xlfn.FORECAST.LINEAR(Q$6,'Achtergrond verbruiksprofielen'!$E$54:$F$54,'Achtergrond verbruiksprofielen'!$E$52:$F$52)</f>
        <v>4.8000000000000043E-2</v>
      </c>
      <c r="R15" s="35">
        <f>_xlfn.FORECAST.LINEAR(R$6,'Achtergrond verbruiksprofielen'!$E$54:$F$54,'Achtergrond verbruiksprofielen'!$E$52:$F$52)</f>
        <v>5.2000000000001378E-2</v>
      </c>
      <c r="S15" s="35">
        <f>_xlfn.FORECAST.LINEAR(S$6,'Achtergrond verbruiksprofielen'!$E$54:$F$54,'Achtergrond verbruiksprofielen'!$E$52:$F$52)</f>
        <v>5.6000000000000938E-2</v>
      </c>
      <c r="T15" s="35">
        <f>'Achtergrond verbruiksprofielen'!$F$54</f>
        <v>0.06</v>
      </c>
      <c r="U15" s="35">
        <f>'Achtergrond verbruiksprofielen'!$F$54</f>
        <v>0.06</v>
      </c>
      <c r="V15" s="35">
        <f>'Achtergrond verbruiksprofielen'!$F$54</f>
        <v>0.06</v>
      </c>
      <c r="W15" s="35">
        <f>'Achtergrond verbruiksprofielen'!$F$54</f>
        <v>0.06</v>
      </c>
      <c r="X15" s="35">
        <f>'Achtergrond verbruiksprofielen'!$F$54</f>
        <v>0.06</v>
      </c>
      <c r="Y15" s="35">
        <f>'Achtergrond verbruiksprofielen'!$F$54</f>
        <v>0.06</v>
      </c>
      <c r="Z15" s="35">
        <f>'Achtergrond verbruiksprofielen'!$F$54</f>
        <v>0.06</v>
      </c>
      <c r="AA15" s="35">
        <f>'Achtergrond verbruiksprofielen'!$F$54</f>
        <v>0.06</v>
      </c>
      <c r="AB15" s="35">
        <f>'Achtergrond verbruiksprofielen'!$F$54</f>
        <v>0.06</v>
      </c>
      <c r="AC15" s="35">
        <f>'Achtergrond verbruiksprofielen'!$F$54</f>
        <v>0.06</v>
      </c>
      <c r="AD15" s="35">
        <f>'Achtergrond verbruiksprofielen'!$F$54</f>
        <v>0.06</v>
      </c>
      <c r="AE15" s="35">
        <f>'Achtergrond verbruiksprofielen'!$F$54</f>
        <v>0.06</v>
      </c>
      <c r="AF15" s="35">
        <f>'Achtergrond verbruiksprofielen'!$F$54</f>
        <v>0.06</v>
      </c>
      <c r="AG15" s="35">
        <f>'Achtergrond verbruiksprofielen'!$F$54</f>
        <v>0.06</v>
      </c>
      <c r="AH15" s="35">
        <f>'Achtergrond verbruiksprofielen'!$F$54</f>
        <v>0.06</v>
      </c>
      <c r="AI15" s="60"/>
      <c r="AJ15" s="60"/>
      <c r="AK15" s="60"/>
    </row>
    <row r="16" spans="1:48" ht="18" x14ac:dyDescent="0.3">
      <c r="A16" s="11" t="s">
        <v>86</v>
      </c>
      <c r="B16" s="11"/>
      <c r="C16" s="11"/>
      <c r="D16" s="33" t="s">
        <v>62</v>
      </c>
      <c r="E16" s="35">
        <f>'Achtergrond verbruiksprofielen'!$C58</f>
        <v>0.12</v>
      </c>
      <c r="F16" s="35">
        <f>'Achtergrond verbruiksprofielen'!$C$58+($F$6-'Achtergrond verbruiksprofielen'!$C56)*('Achtergrond verbruiksprofielen'!$D58-'Achtergrond verbruiksprofielen'!$C58)/('Achtergrond verbruiksprofielen'!$D56-'Achtergrond verbruiksprofielen'!$C56)</f>
        <v>0.11673252400216756</v>
      </c>
      <c r="G16" s="35">
        <f>'Achtergrond verbruiksprofielen'!$C$58+(G6-'Achtergrond verbruiksprofielen'!$C$56)*('Achtergrond verbruiksprofielen'!$D$58-'Achtergrond verbruiksprofielen'!$C$58)/('Achtergrond verbruiksprofielen'!$D$56-'Achtergrond verbruiksprofielen'!$C$56)</f>
        <v>0.11346504800433513</v>
      </c>
      <c r="H16" s="35">
        <f>'Achtergrond verbruiksprofielen'!$C$58+(H6-'Achtergrond verbruiksprofielen'!$C$56)*('Achtergrond verbruiksprofielen'!$D$58-'Achtergrond verbruiksprofielen'!$C$58)/('Achtergrond verbruiksprofielen'!$D$56-'Achtergrond verbruiksprofielen'!$C$56)</f>
        <v>0.11019757200650271</v>
      </c>
      <c r="I16" s="35">
        <f>'Achtergrond verbruiksprofielen'!$C$58+(I6-'Achtergrond verbruiksprofielen'!$C$56)*('Achtergrond verbruiksprofielen'!$D$58-'Achtergrond verbruiksprofielen'!$C$58)/('Achtergrond verbruiksprofielen'!$D$56-'Achtergrond verbruiksprofielen'!$C$56)</f>
        <v>0.10693009600867028</v>
      </c>
      <c r="J16" s="35">
        <f>'Achtergrond verbruiksprofielen'!$D$58</f>
        <v>0.10366262001083784</v>
      </c>
      <c r="K16" s="35">
        <f>'Achtergrond verbruiksprofielen'!$D$58+(K6-'Achtergrond verbruiksprofielen'!$D$56)*('Achtergrond verbruiksprofielen'!$E$58-'Achtergrond verbruiksprofielen'!$D$58)/('Achtergrond verbruiksprofielen'!$E$56-'Achtergrond verbruiksprofielen'!$D$56)</f>
        <v>0.10405876070757882</v>
      </c>
      <c r="L16" s="35">
        <f>'Achtergrond verbruiksprofielen'!$D$58+(L6-'Achtergrond verbruiksprofielen'!$D$56)*('Achtergrond verbruiksprofielen'!$E$58-'Achtergrond verbruiksprofielen'!$D$58)/('Achtergrond verbruiksprofielen'!$E$56-'Achtergrond verbruiksprofielen'!$D$56)</f>
        <v>0.10445490140431979</v>
      </c>
      <c r="M16" s="35">
        <f>'Achtergrond verbruiksprofielen'!$D$58+(M6-'Achtergrond verbruiksprofielen'!$D$56)*('Achtergrond verbruiksprofielen'!$E$58-'Achtergrond verbruiksprofielen'!$D$58)/('Achtergrond verbruiksprofielen'!$E$56-'Achtergrond verbruiksprofielen'!$D$56)</f>
        <v>0.10485104210106078</v>
      </c>
      <c r="N16" s="35">
        <f>'Achtergrond verbruiksprofielen'!$D$58+(N6-'Achtergrond verbruiksprofielen'!$D$56)*('Achtergrond verbruiksprofielen'!$E$58-'Achtergrond verbruiksprofielen'!$D$58)/('Achtergrond verbruiksprofielen'!$E$56-'Achtergrond verbruiksprofielen'!$D$56)</f>
        <v>0.10524718279780175</v>
      </c>
      <c r="O16" s="35">
        <f>'Achtergrond verbruiksprofielen'!$E$58</f>
        <v>0.10564332349454272</v>
      </c>
      <c r="P16" s="35">
        <f>'Achtergrond verbruiksprofielen'!$E$58+(P6-'Achtergrond verbruiksprofielen'!$E$56)*('Achtergrond verbruiksprofielen'!$F$58-'Achtergrond verbruiksprofielen'!$E$58)/('Achtergrond verbruiksprofielen'!$F$56-'Achtergrond verbruiksprofielen'!$E$56)</f>
        <v>0.10712040786670408</v>
      </c>
      <c r="Q16" s="35">
        <f>'Achtergrond verbruiksprofielen'!$E$58+(Q6-'Achtergrond verbruiksprofielen'!$E$56)*('Achtergrond verbruiksprofielen'!$F$58-'Achtergrond verbruiksprofielen'!$E$58)/('Achtergrond verbruiksprofielen'!$F$56-'Achtergrond verbruiksprofielen'!$E$56)</f>
        <v>0.10859749223886543</v>
      </c>
      <c r="R16" s="35">
        <f>'Achtergrond verbruiksprofielen'!$E$58+(R6-'Achtergrond verbruiksprofielen'!$E$56)*('Achtergrond verbruiksprofielen'!$F$58-'Achtergrond verbruiksprofielen'!$E$58)/('Achtergrond verbruiksprofielen'!$F$56-'Achtergrond verbruiksprofielen'!$E$56)</f>
        <v>0.11007457661102679</v>
      </c>
      <c r="S16" s="35">
        <f>'Achtergrond verbruiksprofielen'!$E$58+(S6-'Achtergrond verbruiksprofielen'!$E$56)*('Achtergrond verbruiksprofielen'!$F$58-'Achtergrond verbruiksprofielen'!$E$58)/('Achtergrond verbruiksprofielen'!$F$56-'Achtergrond verbruiksprofielen'!$E$56)</f>
        <v>0.11155166098318814</v>
      </c>
      <c r="T16" s="35">
        <f>'Achtergrond verbruiksprofielen'!$F$58</f>
        <v>0.1130287453553495</v>
      </c>
      <c r="U16" s="35">
        <f>'Achtergrond verbruiksprofielen'!$F$58+(U6-'Achtergrond verbruiksprofielen'!$F$56)*('Achtergrond verbruiksprofielen'!$G$58-'Achtergrond verbruiksprofielen'!$F$58)/('Achtergrond verbruiksprofielen'!$G$56-'Achtergrond verbruiksprofielen'!$F$56)</f>
        <v>0.11232451075885434</v>
      </c>
      <c r="V16" s="35">
        <f>'Achtergrond verbruiksprofielen'!$F$58+(V6-'Achtergrond verbruiksprofielen'!$F$56)*('Achtergrond verbruiksprofielen'!$G$58-'Achtergrond verbruiksprofielen'!$F$58)/('Achtergrond verbruiksprofielen'!$G$56-'Achtergrond verbruiksprofielen'!$F$56)</f>
        <v>0.11162027616235919</v>
      </c>
      <c r="W16" s="35">
        <f>'Achtergrond verbruiksprofielen'!$F$58+(W6-'Achtergrond verbruiksprofielen'!$F$56)*('Achtergrond verbruiksprofielen'!$G$58-'Achtergrond verbruiksprofielen'!$F$58)/('Achtergrond verbruiksprofielen'!$G$56-'Achtergrond verbruiksprofielen'!$F$56)</f>
        <v>0.11091604156586402</v>
      </c>
      <c r="X16" s="35">
        <f>'Achtergrond verbruiksprofielen'!$F$58+(X6-'Achtergrond verbruiksprofielen'!$F$56)*('Achtergrond verbruiksprofielen'!$G$58-'Achtergrond verbruiksprofielen'!$F$58)/('Achtergrond verbruiksprofielen'!$G$56-'Achtergrond verbruiksprofielen'!$F$56)</f>
        <v>0.11021180696936886</v>
      </c>
      <c r="Y16" s="35">
        <f>'Achtergrond verbruiksprofielen'!$G$58</f>
        <v>0.1095075723728737</v>
      </c>
      <c r="Z16" s="35">
        <f>'Achtergrond verbruiksprofielen'!$G$58+(Z6-'Achtergrond verbruiksprofielen'!$G$56)*('Achtergrond verbruiksprofielen'!$H$58-'Achtergrond verbruiksprofielen'!$G$58)/('Achtergrond verbruiksprofielen'!$H$56-'Achtergrond verbruiksprofielen'!$G$56)</f>
        <v>0.10754035833615816</v>
      </c>
      <c r="AA16" s="35">
        <f>'Achtergrond verbruiksprofielen'!$G$58+(AA6-'Achtergrond verbruiksprofielen'!$G$56)*('Achtergrond verbruiksprofielen'!$H$58-'Achtergrond verbruiksprofielen'!$G$58)/('Achtergrond verbruiksprofielen'!$H$56-'Achtergrond verbruiksprofielen'!$G$56)</f>
        <v>0.10557314429944262</v>
      </c>
      <c r="AB16" s="35">
        <f>'Achtergrond verbruiksprofielen'!$G$58+(AB6-'Achtergrond verbruiksprofielen'!$G$56)*('Achtergrond verbruiksprofielen'!$H$58-'Achtergrond verbruiksprofielen'!$G$58)/('Achtergrond verbruiksprofielen'!$H$56-'Achtergrond verbruiksprofielen'!$G$56)</f>
        <v>0.10360593026272708</v>
      </c>
      <c r="AC16" s="35">
        <f>'Achtergrond verbruiksprofielen'!$G$58+(AC6-'Achtergrond verbruiksprofielen'!$G$56)*('Achtergrond verbruiksprofielen'!$H$58-'Achtergrond verbruiksprofielen'!$G$58)/('Achtergrond verbruiksprofielen'!$H$56-'Achtergrond verbruiksprofielen'!$G$56)</f>
        <v>0.10163871622601153</v>
      </c>
      <c r="AD16" s="35">
        <f>'Achtergrond verbruiksprofielen'!$H$58</f>
        <v>9.9671502189295991E-2</v>
      </c>
      <c r="AE16" s="35">
        <f>'Achtergrond verbruiksprofielen'!$H$58</f>
        <v>9.9671502189295991E-2</v>
      </c>
      <c r="AF16" s="35">
        <f>'Achtergrond verbruiksprofielen'!$H$58</f>
        <v>9.9671502189295991E-2</v>
      </c>
      <c r="AG16" s="35">
        <f>'Achtergrond verbruiksprofielen'!$H$58</f>
        <v>9.9671502189295991E-2</v>
      </c>
      <c r="AH16" s="35">
        <f>'Achtergrond verbruiksprofielen'!$H$58</f>
        <v>9.9671502189295991E-2</v>
      </c>
      <c r="AI16" s="60"/>
      <c r="AJ16" s="60"/>
      <c r="AK16" s="60"/>
    </row>
    <row r="17" spans="1:37" ht="15.6" x14ac:dyDescent="0.3">
      <c r="A17" s="11" t="s">
        <v>87</v>
      </c>
      <c r="B17" s="11"/>
      <c r="C17" s="33"/>
      <c r="D17" s="33" t="s">
        <v>88</v>
      </c>
      <c r="E17" s="361">
        <f>'Achtergrond verbruiksprofielen'!$C$59</f>
        <v>8000</v>
      </c>
      <c r="F17" s="361">
        <f>'Achtergrond verbruiksprofielen'!$C$59+($F$6-'Achtergrond verbruiksprofielen'!$C56)*('Achtergrond verbruiksprofielen'!$D59-'Achtergrond verbruiksprofielen'!$C59)/('Achtergrond verbruiksprofielen'!$D56-'Achtergrond verbruiksprofielen'!$C56)</f>
        <v>8000</v>
      </c>
      <c r="G17" s="361">
        <f>'Achtergrond verbruiksprofielen'!$C$59+($F$6-'Achtergrond verbruiksprofielen'!$C56)*('Achtergrond verbruiksprofielen'!$D59-'Achtergrond verbruiksprofielen'!$C59)/('Achtergrond verbruiksprofielen'!$D56-'Achtergrond verbruiksprofielen'!$C56)</f>
        <v>8000</v>
      </c>
      <c r="H17" s="361">
        <f>'Achtergrond verbruiksprofielen'!$C$59+($F$6-'Achtergrond verbruiksprofielen'!$C56)*('Achtergrond verbruiksprofielen'!$D59-'Achtergrond verbruiksprofielen'!$C59)/('Achtergrond verbruiksprofielen'!$D56-'Achtergrond verbruiksprofielen'!$C56)</f>
        <v>8000</v>
      </c>
      <c r="I17" s="361">
        <f>'Achtergrond verbruiksprofielen'!$C$59+($F$6-'Achtergrond verbruiksprofielen'!$C56)*('Achtergrond verbruiksprofielen'!$D59-'Achtergrond verbruiksprofielen'!$C59)/('Achtergrond verbruiksprofielen'!$D56-'Achtergrond verbruiksprofielen'!$C56)</f>
        <v>8000</v>
      </c>
      <c r="J17" s="361">
        <f>'Achtergrond verbruiksprofielen'!$D$59</f>
        <v>8000</v>
      </c>
      <c r="K17" s="361">
        <f>'Achtergrond verbruiksprofielen'!$D$59+(K6-'Achtergrond verbruiksprofielen'!$D$56)*('Achtergrond verbruiksprofielen'!$E$59-'Achtergrond verbruiksprofielen'!$D$59)/('Achtergrond verbruiksprofielen'!$E$56-'Achtergrond verbruiksprofielen'!$D$56)</f>
        <v>8000</v>
      </c>
      <c r="L17" s="361">
        <f>'Achtergrond verbruiksprofielen'!$D$59+(L6-'Achtergrond verbruiksprofielen'!$D$56)*('Achtergrond verbruiksprofielen'!$E$59-'Achtergrond verbruiksprofielen'!$D$59)/('Achtergrond verbruiksprofielen'!$E$56-'Achtergrond verbruiksprofielen'!$D$56)</f>
        <v>8000</v>
      </c>
      <c r="M17" s="361">
        <f>'Achtergrond verbruiksprofielen'!$D$59+(M6-'Achtergrond verbruiksprofielen'!$D$56)*('Achtergrond verbruiksprofielen'!$E$59-'Achtergrond verbruiksprofielen'!$D$59)/('Achtergrond verbruiksprofielen'!$E$56-'Achtergrond verbruiksprofielen'!$D$56)</f>
        <v>8000</v>
      </c>
      <c r="N17" s="361">
        <f>'Achtergrond verbruiksprofielen'!$D$59+(N6-'Achtergrond verbruiksprofielen'!$D$56)*('Achtergrond verbruiksprofielen'!$E$59-'Achtergrond verbruiksprofielen'!$D$59)/('Achtergrond verbruiksprofielen'!$E$56-'Achtergrond verbruiksprofielen'!$D$56)</f>
        <v>8000</v>
      </c>
      <c r="O17" s="361">
        <f>'Achtergrond verbruiksprofielen'!$E$59</f>
        <v>8000</v>
      </c>
      <c r="P17" s="361">
        <f>'Achtergrond verbruiksprofielen'!$E$59+(P6-'Achtergrond verbruiksprofielen'!$E$56)*('Achtergrond verbruiksprofielen'!$F$59-'Achtergrond verbruiksprofielen'!$E$59)/('Achtergrond verbruiksprofielen'!$F$56-'Achtergrond verbruiksprofielen'!$E$56)</f>
        <v>8000</v>
      </c>
      <c r="Q17" s="361">
        <f>'Achtergrond verbruiksprofielen'!$E$59+(Q6-'Achtergrond verbruiksprofielen'!$E$56)*('Achtergrond verbruiksprofielen'!$F$59-'Achtergrond verbruiksprofielen'!$E$59)/('Achtergrond verbruiksprofielen'!$F$56-'Achtergrond verbruiksprofielen'!$E$56)</f>
        <v>8000</v>
      </c>
      <c r="R17" s="361">
        <f>'Achtergrond verbruiksprofielen'!$E$59+(R6-'Achtergrond verbruiksprofielen'!$E$56)*('Achtergrond verbruiksprofielen'!$F$59-'Achtergrond verbruiksprofielen'!$E$59)/('Achtergrond verbruiksprofielen'!$F$56-'Achtergrond verbruiksprofielen'!$E$56)</f>
        <v>8000</v>
      </c>
      <c r="S17" s="361">
        <f>'Achtergrond verbruiksprofielen'!$E$59+(S6-'Achtergrond verbruiksprofielen'!$E$56)*('Achtergrond verbruiksprofielen'!$F$59-'Achtergrond verbruiksprofielen'!$E$59)/('Achtergrond verbruiksprofielen'!$F$56-'Achtergrond verbruiksprofielen'!$E$56)</f>
        <v>8000</v>
      </c>
      <c r="T17" s="361">
        <f>'Achtergrond verbruiksprofielen'!$F$59</f>
        <v>8000</v>
      </c>
      <c r="U17" s="361">
        <f>'Achtergrond verbruiksprofielen'!$F$59+(U6-'Achtergrond verbruiksprofielen'!$F$56)*('Achtergrond verbruiksprofielen'!$G$59-'Achtergrond verbruiksprofielen'!$F$59)/('Achtergrond verbruiksprofielen'!$G$56-'Achtergrond verbruiksprofielen'!$F$56)</f>
        <v>8000</v>
      </c>
      <c r="V17" s="361">
        <f>'Achtergrond verbruiksprofielen'!$F$59+(V6-'Achtergrond verbruiksprofielen'!$F$56)*('Achtergrond verbruiksprofielen'!$G$59-'Achtergrond verbruiksprofielen'!$F$59)/('Achtergrond verbruiksprofielen'!$G$56-'Achtergrond verbruiksprofielen'!$F$56)</f>
        <v>8000</v>
      </c>
      <c r="W17" s="361">
        <f>'Achtergrond verbruiksprofielen'!$F$59+(W6-'Achtergrond verbruiksprofielen'!$F$56)*('Achtergrond verbruiksprofielen'!$G$59-'Achtergrond verbruiksprofielen'!$F$59)/('Achtergrond verbruiksprofielen'!$G$56-'Achtergrond verbruiksprofielen'!$F$56)</f>
        <v>8000</v>
      </c>
      <c r="X17" s="361">
        <f>'Achtergrond verbruiksprofielen'!$F$59+(X6-'Achtergrond verbruiksprofielen'!$F$56)*('Achtergrond verbruiksprofielen'!$G$59-'Achtergrond verbruiksprofielen'!$F$59)/('Achtergrond verbruiksprofielen'!$G$56-'Achtergrond verbruiksprofielen'!$F$56)</f>
        <v>8000</v>
      </c>
      <c r="Y17" s="361">
        <f>'Achtergrond verbruiksprofielen'!$G$59</f>
        <v>8000</v>
      </c>
      <c r="Z17" s="361">
        <f>'Achtergrond verbruiksprofielen'!$G$59+(Z6-'Achtergrond verbruiksprofielen'!$G$56)*('Achtergrond verbruiksprofielen'!$H$59-'Achtergrond verbruiksprofielen'!$G$59)/('Achtergrond verbruiksprofielen'!$H$56-'Achtergrond verbruiksprofielen'!$G$56)</f>
        <v>8000</v>
      </c>
      <c r="AA17" s="361">
        <f>'Achtergrond verbruiksprofielen'!$G$59+(AA6-'Achtergrond verbruiksprofielen'!$G$56)*('Achtergrond verbruiksprofielen'!$H$59-'Achtergrond verbruiksprofielen'!$G$59)/('Achtergrond verbruiksprofielen'!$H$56-'Achtergrond verbruiksprofielen'!$G$56)</f>
        <v>8000</v>
      </c>
      <c r="AB17" s="361">
        <f>'Achtergrond verbruiksprofielen'!$G$59+(AB6-'Achtergrond verbruiksprofielen'!$G$56)*('Achtergrond verbruiksprofielen'!$H$59-'Achtergrond verbruiksprofielen'!$G$59)/('Achtergrond verbruiksprofielen'!$H$56-'Achtergrond verbruiksprofielen'!$G$56)</f>
        <v>8000</v>
      </c>
      <c r="AC17" s="361">
        <f>'Achtergrond verbruiksprofielen'!$G$59+(AC6-'Achtergrond verbruiksprofielen'!$G$56)*('Achtergrond verbruiksprofielen'!$H$59-'Achtergrond verbruiksprofielen'!$G$59)/('Achtergrond verbruiksprofielen'!$H$56-'Achtergrond verbruiksprofielen'!$G$56)</f>
        <v>8000</v>
      </c>
      <c r="AD17" s="361">
        <f>'Achtergrond verbruiksprofielen'!$H$59</f>
        <v>8000</v>
      </c>
      <c r="AE17" s="361">
        <f>'Achtergrond verbruiksprofielen'!$H$59</f>
        <v>8000</v>
      </c>
      <c r="AF17" s="361">
        <f>'Achtergrond verbruiksprofielen'!$H$59</f>
        <v>8000</v>
      </c>
      <c r="AG17" s="361">
        <f>'Achtergrond verbruiksprofielen'!$H$59</f>
        <v>8000</v>
      </c>
      <c r="AH17" s="361">
        <f>'Achtergrond verbruiksprofielen'!$H$59</f>
        <v>8000</v>
      </c>
      <c r="AI17" s="60"/>
      <c r="AJ17" s="60"/>
      <c r="AK17" s="60"/>
    </row>
    <row r="18" spans="1:37" ht="15.6" x14ac:dyDescent="0.3">
      <c r="A18" s="11"/>
      <c r="B18" s="11"/>
      <c r="C18" s="11"/>
      <c r="D18" s="11"/>
      <c r="E18" s="341"/>
      <c r="F18" s="341"/>
      <c r="G18" s="341"/>
      <c r="H18" s="341"/>
      <c r="I18" s="341"/>
      <c r="J18" s="341"/>
      <c r="K18" s="341"/>
      <c r="L18" s="341"/>
      <c r="M18" s="341"/>
      <c r="N18" s="341"/>
      <c r="O18" s="341"/>
      <c r="P18" s="341"/>
      <c r="Q18" s="341"/>
      <c r="R18" s="341"/>
      <c r="S18" s="341"/>
      <c r="T18" s="341"/>
      <c r="U18" s="341"/>
      <c r="V18" s="341"/>
      <c r="W18" s="341"/>
      <c r="X18" s="341"/>
      <c r="Y18" s="341"/>
      <c r="Z18" s="341"/>
      <c r="AA18" s="341"/>
      <c r="AB18" s="341"/>
      <c r="AC18" s="341"/>
      <c r="AD18" s="341"/>
      <c r="AE18" s="341"/>
      <c r="AF18" s="341"/>
      <c r="AG18" s="341"/>
      <c r="AH18" s="341"/>
      <c r="AI18" s="60"/>
      <c r="AJ18" s="60"/>
      <c r="AK18" s="60"/>
    </row>
    <row r="19" spans="1:37" ht="15.6" x14ac:dyDescent="0.3">
      <c r="A19" s="66" t="s">
        <v>91</v>
      </c>
      <c r="B19" s="11"/>
      <c r="C19" s="11"/>
      <c r="D19" s="58" t="s">
        <v>81</v>
      </c>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60"/>
      <c r="AJ19" s="60"/>
      <c r="AK19" s="60"/>
    </row>
    <row r="20" spans="1:37" ht="18" x14ac:dyDescent="0.3">
      <c r="A20" s="11" t="s">
        <v>82</v>
      </c>
      <c r="B20" s="11"/>
      <c r="C20" s="11"/>
      <c r="D20" s="33" t="s">
        <v>90</v>
      </c>
      <c r="E20" s="50">
        <f>'Achtergrond verbruiksprofielen'!$C$94</f>
        <v>3.2000000000000001E-2</v>
      </c>
      <c r="F20" s="50">
        <f>'Achtergrond verbruiksprofielen'!$C$94</f>
        <v>3.2000000000000001E-2</v>
      </c>
      <c r="G20" s="50">
        <f>'Achtergrond verbruiksprofielen'!$C$94</f>
        <v>3.2000000000000001E-2</v>
      </c>
      <c r="H20" s="50">
        <f>'Achtergrond verbruiksprofielen'!$C$94</f>
        <v>3.2000000000000001E-2</v>
      </c>
      <c r="I20" s="50">
        <f>'Achtergrond verbruiksprofielen'!$C$94</f>
        <v>3.2000000000000001E-2</v>
      </c>
      <c r="J20" s="50">
        <f>'Achtergrond verbruiksprofielen'!$C$94</f>
        <v>3.2000000000000001E-2</v>
      </c>
      <c r="K20" s="50">
        <f>'Achtergrond verbruiksprofielen'!$C$94</f>
        <v>3.2000000000000001E-2</v>
      </c>
      <c r="L20" s="50">
        <f>'Achtergrond verbruiksprofielen'!$C$94</f>
        <v>3.2000000000000001E-2</v>
      </c>
      <c r="M20" s="50">
        <f>'Achtergrond verbruiksprofielen'!$C$94</f>
        <v>3.2000000000000001E-2</v>
      </c>
      <c r="N20" s="50">
        <f>'Achtergrond verbruiksprofielen'!$C$94</f>
        <v>3.2000000000000001E-2</v>
      </c>
      <c r="O20" s="50">
        <f>'Achtergrond verbruiksprofielen'!$C$94</f>
        <v>3.2000000000000001E-2</v>
      </c>
      <c r="P20" s="50">
        <f>'Achtergrond verbruiksprofielen'!$C$94</f>
        <v>3.2000000000000001E-2</v>
      </c>
      <c r="Q20" s="50">
        <f>'Achtergrond verbruiksprofielen'!$C$94</f>
        <v>3.2000000000000001E-2</v>
      </c>
      <c r="R20" s="50">
        <f>'Achtergrond verbruiksprofielen'!$C$94</f>
        <v>3.2000000000000001E-2</v>
      </c>
      <c r="S20" s="50">
        <f>'Achtergrond verbruiksprofielen'!$C$94</f>
        <v>3.2000000000000001E-2</v>
      </c>
      <c r="T20" s="50">
        <f>'Achtergrond verbruiksprofielen'!$C$94</f>
        <v>3.2000000000000001E-2</v>
      </c>
      <c r="U20" s="50">
        <f>'Achtergrond verbruiksprofielen'!$C$94</f>
        <v>3.2000000000000001E-2</v>
      </c>
      <c r="V20" s="50">
        <f>'Achtergrond verbruiksprofielen'!$C$94</f>
        <v>3.2000000000000001E-2</v>
      </c>
      <c r="W20" s="50">
        <f>'Achtergrond verbruiksprofielen'!$C$94</f>
        <v>3.2000000000000001E-2</v>
      </c>
      <c r="X20" s="50">
        <f>'Achtergrond verbruiksprofielen'!$C$94</f>
        <v>3.2000000000000001E-2</v>
      </c>
      <c r="Y20" s="50">
        <f>'Achtergrond verbruiksprofielen'!$C$94</f>
        <v>3.2000000000000001E-2</v>
      </c>
      <c r="Z20" s="50">
        <f>'Achtergrond verbruiksprofielen'!$C$94</f>
        <v>3.2000000000000001E-2</v>
      </c>
      <c r="AA20" s="50">
        <f>'Achtergrond verbruiksprofielen'!$C$94</f>
        <v>3.2000000000000001E-2</v>
      </c>
      <c r="AB20" s="50">
        <f>'Achtergrond verbruiksprofielen'!$C$94</f>
        <v>3.2000000000000001E-2</v>
      </c>
      <c r="AC20" s="50">
        <f>'Achtergrond verbruiksprofielen'!$C$94</f>
        <v>3.2000000000000001E-2</v>
      </c>
      <c r="AD20" s="50">
        <f>'Achtergrond verbruiksprofielen'!$C$94</f>
        <v>3.2000000000000001E-2</v>
      </c>
      <c r="AE20" s="50">
        <f>'Achtergrond verbruiksprofielen'!$C$94</f>
        <v>3.2000000000000001E-2</v>
      </c>
      <c r="AF20" s="50">
        <f>'Achtergrond verbruiksprofielen'!$C$94</f>
        <v>3.2000000000000001E-2</v>
      </c>
      <c r="AG20" s="50">
        <f>'Achtergrond verbruiksprofielen'!$C$94</f>
        <v>3.2000000000000001E-2</v>
      </c>
      <c r="AH20" s="50">
        <f>'Achtergrond verbruiksprofielen'!$C$94</f>
        <v>3.2000000000000001E-2</v>
      </c>
      <c r="AI20" s="60"/>
      <c r="AJ20" s="60"/>
      <c r="AK20" s="60"/>
    </row>
    <row r="21" spans="1:37" ht="18" x14ac:dyDescent="0.4">
      <c r="A21" s="11" t="s">
        <v>178</v>
      </c>
      <c r="B21" s="11"/>
      <c r="C21" s="11"/>
      <c r="D21" s="223" t="s">
        <v>167</v>
      </c>
      <c r="E21" s="35">
        <v>0</v>
      </c>
      <c r="F21" s="35">
        <v>0</v>
      </c>
      <c r="G21" s="35">
        <v>0</v>
      </c>
      <c r="H21" s="35">
        <f>_xlfn.FORECAST.LINEAR(H$6,'Achtergrond verbruiksprofielen'!$C$98:$D$98,'Achtergrond verbruiksprofielen'!$C$96:$D$96)</f>
        <v>1.3999999999995794E-2</v>
      </c>
      <c r="I21" s="35">
        <f>_xlfn.FORECAST.LINEAR(I$6,'Achtergrond verbruiksprofielen'!$C$98:$D$98,'Achtergrond verbruiksprofielen'!$C$96:$D$96)</f>
        <v>2.9333333333330103E-2</v>
      </c>
      <c r="J21" s="35">
        <f>_xlfn.FORECAST.LINEAR(J$6,'Achtergrond verbruiksprofielen'!$C$98:$D$98,'Achtergrond verbruiksprofielen'!$C$96:$D$96)</f>
        <v>4.4666666666664412E-2</v>
      </c>
      <c r="K21" s="35">
        <f>_xlfn.FORECAST.LINEAR(K$6,'Achtergrond verbruiksprofielen'!$C$98:$D$98,'Achtergrond verbruiksprofielen'!$C$96:$D$96)</f>
        <v>5.9999999999998721E-2</v>
      </c>
      <c r="L21" s="35">
        <f>_xlfn.FORECAST.LINEAR(L$6,'Achtergrond verbruiksprofielen'!$C$98:$D$98,'Achtergrond verbruiksprofielen'!$C$96:$D$96)</f>
        <v>7.5333333333329477E-2</v>
      </c>
      <c r="M21" s="35">
        <f>_xlfn.FORECAST.LINEAR(M$6,'Achtergrond verbruiksprofielen'!$C$98:$D$98,'Achtergrond verbruiksprofielen'!$C$96:$D$96)</f>
        <v>9.0666666666663787E-2</v>
      </c>
      <c r="N21" s="35">
        <f>_xlfn.FORECAST.LINEAR(N$6,'Achtergrond verbruiksprofielen'!$C$98:$D$98,'Achtergrond verbruiksprofielen'!$C$96:$D$96)</f>
        <v>0.1059999999999981</v>
      </c>
      <c r="O21" s="35">
        <f>_xlfn.FORECAST.LINEAR(O$6,'Achtergrond verbruiksprofielen'!$C$98:$D$98,'Achtergrond verbruiksprofielen'!$C$96:$D$96)</f>
        <v>0.1213333333333324</v>
      </c>
      <c r="P21" s="35">
        <f>_xlfn.FORECAST.LINEAR(P$6,'Achtergrond verbruiksprofielen'!$C$98:$D$98,'Achtergrond verbruiksprofielen'!$C$96:$D$96)</f>
        <v>0.13666666666666316</v>
      </c>
      <c r="Q21" s="35">
        <f>_xlfn.FORECAST.LINEAR(Q$6,'Achtergrond verbruiksprofielen'!$C$98:$D$98,'Achtergrond verbruiksprofielen'!$C$96:$D$96)</f>
        <v>0.15199999999999747</v>
      </c>
      <c r="R21" s="35">
        <f>_xlfn.FORECAST.LINEAR(R$6,'Achtergrond verbruiksprofielen'!$C$98:$D$98,'Achtergrond verbruiksprofielen'!$C$96:$D$96)</f>
        <v>0.16733333333333178</v>
      </c>
      <c r="S21" s="35">
        <f>_xlfn.FORECAST.LINEAR(S$6,'Achtergrond verbruiksprofielen'!$C$98:$D$98,'Achtergrond verbruiksprofielen'!$C$96:$D$96)</f>
        <v>0.18266666666666254</v>
      </c>
      <c r="T21" s="35">
        <f>_xlfn.FORECAST.LINEAR(T$6,'Achtergrond verbruiksprofielen'!$C$98:$D$98,'Achtergrond verbruiksprofielen'!$C$96:$D$96)</f>
        <v>0.19799999999999685</v>
      </c>
      <c r="U21" s="35">
        <f>_xlfn.FORECAST.LINEAR(U$6,'Achtergrond verbruiksprofielen'!$C$98:$D$98,'Achtergrond verbruiksprofielen'!$C$96:$D$96)</f>
        <v>0.21333333333333115</v>
      </c>
      <c r="V21" s="35">
        <f>_xlfn.FORECAST.LINEAR(V$6,'Achtergrond verbruiksprofielen'!$C$98:$D$98,'Achtergrond verbruiksprofielen'!$C$96:$D$96)</f>
        <v>0.22866666666666546</v>
      </c>
      <c r="W21" s="35">
        <f>_xlfn.FORECAST.LINEAR(W$6,'Achtergrond verbruiksprofielen'!$C$98:$D$98,'Achtergrond verbruiksprofielen'!$C$96:$D$96)</f>
        <v>0.24399999999999622</v>
      </c>
      <c r="X21" s="35">
        <f>_xlfn.FORECAST.LINEAR(X$6,'Achtergrond verbruiksprofielen'!$C$98:$D$98,'Achtergrond verbruiksprofielen'!$C$96:$D$96)</f>
        <v>0.25933333333333053</v>
      </c>
      <c r="Y21" s="35">
        <f>_xlfn.FORECAST.LINEAR(Y$6,'Achtergrond verbruiksprofielen'!$C$98:$D$98,'Achtergrond verbruiksprofielen'!$C$96:$D$96)</f>
        <v>0.27466666666666484</v>
      </c>
      <c r="Z21" s="35">
        <f>_xlfn.FORECAST.LINEAR(Z$6,'Achtergrond verbruiksprofielen'!$C$98:$D$98,'Achtergrond verbruiksprofielen'!$C$96:$D$96)</f>
        <v>0.28999999999999915</v>
      </c>
      <c r="AA21" s="35">
        <f>_xlfn.FORECAST.LINEAR(AA$6,'Achtergrond verbruiksprofielen'!$C$98:$D$98,'Achtergrond verbruiksprofielen'!$C$96:$D$96)</f>
        <v>0.3053333333333299</v>
      </c>
      <c r="AB21" s="35">
        <f>_xlfn.FORECAST.LINEAR(AB$6,'Achtergrond verbruiksprofielen'!$C$98:$D$98,'Achtergrond verbruiksprofielen'!$C$96:$D$96)</f>
        <v>0.32066666666666421</v>
      </c>
      <c r="AC21" s="35">
        <f>_xlfn.FORECAST.LINEAR(AC$6,'Achtergrond verbruiksprofielen'!$C$98:$D$98,'Achtergrond verbruiksprofielen'!$C$96:$D$96)</f>
        <v>0.33599999999999852</v>
      </c>
      <c r="AD21" s="35">
        <f>'Achtergrond verbruiksprofielen'!$D$98</f>
        <v>0.06</v>
      </c>
      <c r="AE21" s="35">
        <f>'Achtergrond verbruiksprofielen'!$D$98</f>
        <v>0.06</v>
      </c>
      <c r="AF21" s="35">
        <f>'Achtergrond verbruiksprofielen'!$D$98</f>
        <v>0.06</v>
      </c>
      <c r="AG21" s="35">
        <f>'Achtergrond verbruiksprofielen'!$D$98</f>
        <v>0.06</v>
      </c>
      <c r="AH21" s="35">
        <f>'Achtergrond verbruiksprofielen'!$D$98</f>
        <v>0.06</v>
      </c>
      <c r="AI21" s="60"/>
      <c r="AJ21" s="60"/>
      <c r="AK21" s="60"/>
    </row>
    <row r="22" spans="1:37" ht="18" x14ac:dyDescent="0.3">
      <c r="A22" s="11" t="s">
        <v>86</v>
      </c>
      <c r="B22" s="11"/>
      <c r="C22" s="11"/>
      <c r="D22" s="33" t="s">
        <v>62</v>
      </c>
      <c r="E22" s="35">
        <f>'Achtergrond verbruiksprofielen'!$C$102</f>
        <v>8.2572076721086615E-2</v>
      </c>
      <c r="F22" s="35">
        <f>'Achtergrond verbruiksprofielen'!$C$102+($F$6-'Achtergrond verbruiksprofielen'!$C100)*('Achtergrond verbruiksprofielen'!$D102-'Achtergrond verbruiksprofielen'!$C102)/('Achtergrond verbruiksprofielen'!$D100-'Achtergrond verbruiksprofielen'!$C100)</f>
        <v>8.3705513168544868E-2</v>
      </c>
      <c r="G22" s="35">
        <f>'Achtergrond verbruiksprofielen'!$C$102+(G$6-'Achtergrond verbruiksprofielen'!$C100)*('Achtergrond verbruiksprofielen'!$D102-'Achtergrond verbruiksprofielen'!$C102)/('Achtergrond verbruiksprofielen'!$D100-'Achtergrond verbruiksprofielen'!$C100)</f>
        <v>8.4838949616003134E-2</v>
      </c>
      <c r="H22" s="35">
        <f>'Achtergrond verbruiksprofielen'!$C$102+(H$6-'Achtergrond verbruiksprofielen'!$C100)*('Achtergrond verbruiksprofielen'!$D102-'Achtergrond verbruiksprofielen'!$C102)/('Achtergrond verbruiksprofielen'!$D100-'Achtergrond verbruiksprofielen'!$C100)</f>
        <v>8.5972386063461387E-2</v>
      </c>
      <c r="I22" s="35">
        <f>'Achtergrond verbruiksprofielen'!$C$102+(I$6-'Achtergrond verbruiksprofielen'!$C100)*('Achtergrond verbruiksprofielen'!$D102-'Achtergrond verbruiksprofielen'!$C102)/('Achtergrond verbruiksprofielen'!$D100-'Achtergrond verbruiksprofielen'!$C100)</f>
        <v>8.7105822510919653E-2</v>
      </c>
      <c r="J22" s="35">
        <f>'Achtergrond verbruiksprofielen'!$D$102</f>
        <v>8.8239258958377906E-2</v>
      </c>
      <c r="K22" s="35">
        <f>'Achtergrond verbruiksprofielen'!$D$102+(K6-'Achtergrond verbruiksprofielen'!$D$100)*('Achtergrond verbruiksprofielen'!$E$102-'Achtergrond verbruiksprofielen'!$D$102)/('Achtergrond verbruiksprofielen'!$E$100-'Achtergrond verbruiksprofielen'!$D$100)</f>
        <v>8.6800199100193209E-2</v>
      </c>
      <c r="L22" s="35">
        <f>'Achtergrond verbruiksprofielen'!$D$102+(L6-'Achtergrond verbruiksprofielen'!$D$100)*('Achtergrond verbruiksprofielen'!$E$102-'Achtergrond verbruiksprofielen'!$D$102)/('Achtergrond verbruiksprofielen'!$E$100-'Achtergrond verbruiksprofielen'!$D$100)</f>
        <v>8.5361139242008513E-2</v>
      </c>
      <c r="M22" s="35">
        <f>'Achtergrond verbruiksprofielen'!$D$102+(M6-'Achtergrond verbruiksprofielen'!$D$100)*('Achtergrond verbruiksprofielen'!$E$102-'Achtergrond verbruiksprofielen'!$D$102)/('Achtergrond verbruiksprofielen'!$E$100-'Achtergrond verbruiksprofielen'!$D$100)</f>
        <v>8.3922079383823817E-2</v>
      </c>
      <c r="N22" s="35">
        <f>'Achtergrond verbruiksprofielen'!$D$102+(N6-'Achtergrond verbruiksprofielen'!$D$100)*('Achtergrond verbruiksprofielen'!$E$102-'Achtergrond verbruiksprofielen'!$D$102)/('Achtergrond verbruiksprofielen'!$E$100-'Achtergrond verbruiksprofielen'!$D$100)</f>
        <v>8.248301952563912E-2</v>
      </c>
      <c r="O22" s="35">
        <f>'Achtergrond verbruiksprofielen'!$E$102</f>
        <v>8.1043959667454424E-2</v>
      </c>
      <c r="P22" s="35">
        <f>'Achtergrond verbruiksprofielen'!$E$102+(P6-'Achtergrond verbruiksprofielen'!$E$100)*('Achtergrond verbruiksprofielen'!$F$102-'Achtergrond verbruiksprofielen'!$E$102)/('Achtergrond verbruiksprofielen'!$F$100-'Achtergrond verbruiksprofielen'!$E$100)</f>
        <v>8.0762561384206691E-2</v>
      </c>
      <c r="Q22" s="35">
        <f>'Achtergrond verbruiksprofielen'!$E$102+(Q6-'Achtergrond verbruiksprofielen'!$E$100)*('Achtergrond verbruiksprofielen'!$F$102-'Achtergrond verbruiksprofielen'!$E$102)/('Achtergrond verbruiksprofielen'!$F$100-'Achtergrond verbruiksprofielen'!$E$100)</f>
        <v>8.0481163100958958E-2</v>
      </c>
      <c r="R22" s="35">
        <f>'Achtergrond verbruiksprofielen'!$E$102+(R6-'Achtergrond verbruiksprofielen'!$E$100)*('Achtergrond verbruiksprofielen'!$F$102-'Achtergrond verbruiksprofielen'!$E$102)/('Achtergrond verbruiksprofielen'!$F$100-'Achtergrond verbruiksprofielen'!$E$100)</f>
        <v>8.0199764817711239E-2</v>
      </c>
      <c r="S22" s="35">
        <f>'Achtergrond verbruiksprofielen'!$E$102+(S6-'Achtergrond verbruiksprofielen'!$E$100)*('Achtergrond verbruiksprofielen'!$F$102-'Achtergrond verbruiksprofielen'!$E$102)/('Achtergrond verbruiksprofielen'!$F$100-'Achtergrond verbruiksprofielen'!$E$100)</f>
        <v>7.9918366534463506E-2</v>
      </c>
      <c r="T22" s="35">
        <f>'Achtergrond verbruiksprofielen'!$F$102</f>
        <v>7.9636968251215773E-2</v>
      </c>
      <c r="U22" s="35">
        <f>'Achtergrond verbruiksprofielen'!$F$102+(U6-'Achtergrond verbruiksprofielen'!$F$100)*('Achtergrond verbruiksprofielen'!$G$102-'Achtergrond verbruiksprofielen'!$F$102)/('Achtergrond verbruiksprofielen'!$G$100-'Achtergrond verbruiksprofielen'!$F$100)</f>
        <v>8.0494287412931229E-2</v>
      </c>
      <c r="V22" s="35">
        <f>'Achtergrond verbruiksprofielen'!$F$102+(V6-'Achtergrond verbruiksprofielen'!$F$100)*('Achtergrond verbruiksprofielen'!$G$102-'Achtergrond verbruiksprofielen'!$F$102)/('Achtergrond verbruiksprofielen'!$G$100-'Achtergrond verbruiksprofielen'!$F$100)</f>
        <v>8.135160657464667E-2</v>
      </c>
      <c r="W22" s="35">
        <f>'Achtergrond verbruiksprofielen'!$F$102+(W6-'Achtergrond verbruiksprofielen'!$F$100)*('Achtergrond verbruiksprofielen'!$G$102-'Achtergrond verbruiksprofielen'!$F$102)/('Achtergrond verbruiksprofielen'!$G$100-'Achtergrond verbruiksprofielen'!$F$100)</f>
        <v>8.2208925736362126E-2</v>
      </c>
      <c r="X22" s="35">
        <f>'Achtergrond verbruiksprofielen'!$F$102+(X6-'Achtergrond verbruiksprofielen'!$F$100)*('Achtergrond verbruiksprofielen'!$G$102-'Achtergrond verbruiksprofielen'!$F$102)/('Achtergrond verbruiksprofielen'!$G$100-'Achtergrond verbruiksprofielen'!$F$100)</f>
        <v>8.3066244898077568E-2</v>
      </c>
      <c r="Y22" s="35">
        <f>'Achtergrond verbruiksprofielen'!$G$102</f>
        <v>8.3923564059793024E-2</v>
      </c>
      <c r="Z22" s="35">
        <f>'Achtergrond verbruiksprofielen'!$G$102+(Z6-'Achtergrond verbruiksprofielen'!$G$100)*('Achtergrond verbruiksprofielen'!$H$102-'Achtergrond verbruiksprofielen'!$G$102)/('Achtergrond verbruiksprofielen'!$H$100-'Achtergrond verbruiksprofielen'!$G$100)</f>
        <v>8.1868524713205798E-2</v>
      </c>
      <c r="AA22" s="35">
        <f>'Achtergrond verbruiksprofielen'!$G$102+(AA6-'Achtergrond verbruiksprofielen'!$G$100)*('Achtergrond verbruiksprofielen'!$H$102-'Achtergrond verbruiksprofielen'!$G$102)/('Achtergrond verbruiksprofielen'!$H$100-'Achtergrond verbruiksprofielen'!$G$100)</f>
        <v>7.9813485366618558E-2</v>
      </c>
      <c r="AB22" s="35">
        <f>'Achtergrond verbruiksprofielen'!$G$102+(AB6-'Achtergrond verbruiksprofielen'!$G$100)*('Achtergrond verbruiksprofielen'!$H$102-'Achtergrond verbruiksprofielen'!$G$102)/('Achtergrond verbruiksprofielen'!$H$100-'Achtergrond verbruiksprofielen'!$G$100)</f>
        <v>7.7758446020031333E-2</v>
      </c>
      <c r="AC22" s="35">
        <f>'Achtergrond verbruiksprofielen'!$G$102+(AC6-'Achtergrond verbruiksprofielen'!$G$100)*('Achtergrond verbruiksprofielen'!$H$102-'Achtergrond verbruiksprofielen'!$G$102)/('Achtergrond verbruiksprofielen'!$H$100-'Achtergrond verbruiksprofielen'!$G$100)</f>
        <v>7.5703406673444093E-2</v>
      </c>
      <c r="AD22" s="35">
        <f>'Achtergrond verbruiksprofielen'!$H$102</f>
        <v>7.3648367326856867E-2</v>
      </c>
      <c r="AE22" s="35">
        <f>'Achtergrond verbruiksprofielen'!$H$102</f>
        <v>7.3648367326856867E-2</v>
      </c>
      <c r="AF22" s="35">
        <f>'Achtergrond verbruiksprofielen'!$H$102</f>
        <v>7.3648367326856867E-2</v>
      </c>
      <c r="AG22" s="35">
        <f>'Achtergrond verbruiksprofielen'!$H$102</f>
        <v>7.3648367326856867E-2</v>
      </c>
      <c r="AH22" s="35">
        <f>'Achtergrond verbruiksprofielen'!$H$102</f>
        <v>7.3648367326856867E-2</v>
      </c>
      <c r="AI22" s="60"/>
      <c r="AJ22" s="60"/>
      <c r="AK22" s="60"/>
    </row>
    <row r="23" spans="1:37" ht="15.6" x14ac:dyDescent="0.3">
      <c r="A23" s="11" t="s">
        <v>87</v>
      </c>
      <c r="B23" s="11"/>
      <c r="C23" s="33"/>
      <c r="D23" s="33" t="s">
        <v>88</v>
      </c>
      <c r="E23" s="361">
        <f>'Achtergrond verbruiksprofielen'!$C$103</f>
        <v>8000</v>
      </c>
      <c r="F23" s="361">
        <f>'Achtergrond verbruiksprofielen'!$C$103+(F$6-'Achtergrond verbruiksprofielen'!$C101)*('Achtergrond verbruiksprofielen'!$D103-'Achtergrond verbruiksprofielen'!$C103)/('Achtergrond verbruiksprofielen'!$D100-'Achtergrond verbruiksprofielen'!$C100)</f>
        <v>8000</v>
      </c>
      <c r="G23" s="361">
        <f>'Achtergrond verbruiksprofielen'!$C$103+(G$6-'Achtergrond verbruiksprofielen'!$C101)*('Achtergrond verbruiksprofielen'!$D103-'Achtergrond verbruiksprofielen'!$C103)/('Achtergrond verbruiksprofielen'!$D100-'Achtergrond verbruiksprofielen'!$C100)</f>
        <v>8000</v>
      </c>
      <c r="H23" s="361">
        <f>'Achtergrond verbruiksprofielen'!$C$103+(H$6-'Achtergrond verbruiksprofielen'!$C101)*('Achtergrond verbruiksprofielen'!$D103-'Achtergrond verbruiksprofielen'!$C103)/('Achtergrond verbruiksprofielen'!$D100-'Achtergrond verbruiksprofielen'!$C100)</f>
        <v>8000</v>
      </c>
      <c r="I23" s="361">
        <f>'Achtergrond verbruiksprofielen'!$C$103+(I$6-'Achtergrond verbruiksprofielen'!$C101)*('Achtergrond verbruiksprofielen'!$D103-'Achtergrond verbruiksprofielen'!$C103)/('Achtergrond verbruiksprofielen'!$D100-'Achtergrond verbruiksprofielen'!$C100)</f>
        <v>8000</v>
      </c>
      <c r="J23" s="361">
        <f>'Achtergrond verbruiksprofielen'!$D$103</f>
        <v>8000</v>
      </c>
      <c r="K23" s="361">
        <f>'Achtergrond verbruiksprofielen'!$D$103+(K6-'Achtergrond verbruiksprofielen'!$D$100)*('Achtergrond verbruiksprofielen'!$E$103-'Achtergrond verbruiksprofielen'!$D$103)/('Achtergrond verbruiksprofielen'!$E$100-'Achtergrond verbruiksprofielen'!$D$100)</f>
        <v>8000</v>
      </c>
      <c r="L23" s="361">
        <f>'Achtergrond verbruiksprofielen'!$D$103+(L6-'Achtergrond verbruiksprofielen'!$D$100)*('Achtergrond verbruiksprofielen'!$E$103-'Achtergrond verbruiksprofielen'!$D$103)/('Achtergrond verbruiksprofielen'!$E$100-'Achtergrond verbruiksprofielen'!$D$100)</f>
        <v>8000</v>
      </c>
      <c r="M23" s="361">
        <f>'Achtergrond verbruiksprofielen'!$D$103+(M6-'Achtergrond verbruiksprofielen'!$D$100)*('Achtergrond verbruiksprofielen'!$E$103-'Achtergrond verbruiksprofielen'!$D$103)/('Achtergrond verbruiksprofielen'!$E$100-'Achtergrond verbruiksprofielen'!$D$100)</f>
        <v>8000</v>
      </c>
      <c r="N23" s="361">
        <f>'Achtergrond verbruiksprofielen'!$D$103+(N6-'Achtergrond verbruiksprofielen'!$D$100)*('Achtergrond verbruiksprofielen'!$E$103-'Achtergrond verbruiksprofielen'!$D$103)/('Achtergrond verbruiksprofielen'!$E$100-'Achtergrond verbruiksprofielen'!$D$100)</f>
        <v>8000</v>
      </c>
      <c r="O23" s="361">
        <f>'Achtergrond verbruiksprofielen'!$E$103</f>
        <v>8000</v>
      </c>
      <c r="P23" s="361">
        <f>'Achtergrond verbruiksprofielen'!$E$103+(P6-'Achtergrond verbruiksprofielen'!$E$100)*('Achtergrond verbruiksprofielen'!$F$103-'Achtergrond verbruiksprofielen'!$E$103)/('Achtergrond verbruiksprofielen'!$F$100-'Achtergrond verbruiksprofielen'!$E$100)</f>
        <v>8000</v>
      </c>
      <c r="Q23" s="361">
        <f>'Achtergrond verbruiksprofielen'!$E$103+(Q6-'Achtergrond verbruiksprofielen'!$E$100)*('Achtergrond verbruiksprofielen'!$F$103-'Achtergrond verbruiksprofielen'!$E$103)/('Achtergrond verbruiksprofielen'!$F$100-'Achtergrond verbruiksprofielen'!$E$100)</f>
        <v>8000</v>
      </c>
      <c r="R23" s="361">
        <f>'Achtergrond verbruiksprofielen'!$E$103+(R6-'Achtergrond verbruiksprofielen'!$E$100)*('Achtergrond verbruiksprofielen'!$F$103-'Achtergrond verbruiksprofielen'!$E$103)/('Achtergrond verbruiksprofielen'!$F$100-'Achtergrond verbruiksprofielen'!$E$100)</f>
        <v>8000</v>
      </c>
      <c r="S23" s="361">
        <f>'Achtergrond verbruiksprofielen'!$E$103+(S6-'Achtergrond verbruiksprofielen'!$E$100)*('Achtergrond verbruiksprofielen'!$F$103-'Achtergrond verbruiksprofielen'!$E$103)/('Achtergrond verbruiksprofielen'!$F$100-'Achtergrond verbruiksprofielen'!$E$100)</f>
        <v>8000</v>
      </c>
      <c r="T23" s="361">
        <f>'Achtergrond verbruiksprofielen'!$F$103</f>
        <v>8000</v>
      </c>
      <c r="U23" s="361">
        <f>'Achtergrond verbruiksprofielen'!$F$103+(U6-'Achtergrond verbruiksprofielen'!$F$100)*('Achtergrond verbruiksprofielen'!$G$103-'Achtergrond verbruiksprofielen'!$F$103)/('Achtergrond verbruiksprofielen'!$G$100-'Achtergrond verbruiksprofielen'!$F$100)</f>
        <v>8000</v>
      </c>
      <c r="V23" s="361">
        <f>'Achtergrond verbruiksprofielen'!$F$103+(V6-'Achtergrond verbruiksprofielen'!$F$100)*('Achtergrond verbruiksprofielen'!$G$103-'Achtergrond verbruiksprofielen'!$F$103)/('Achtergrond verbruiksprofielen'!$G$100-'Achtergrond verbruiksprofielen'!$F$100)</f>
        <v>8000</v>
      </c>
      <c r="W23" s="361">
        <f>'Achtergrond verbruiksprofielen'!$F$103+(W6-'Achtergrond verbruiksprofielen'!$F$100)*('Achtergrond verbruiksprofielen'!$G$103-'Achtergrond verbruiksprofielen'!$F$103)/('Achtergrond verbruiksprofielen'!$G$100-'Achtergrond verbruiksprofielen'!$F$100)</f>
        <v>8000</v>
      </c>
      <c r="X23" s="361">
        <f>'Achtergrond verbruiksprofielen'!$F$103+(X6-'Achtergrond verbruiksprofielen'!$F$100)*('Achtergrond verbruiksprofielen'!$G$103-'Achtergrond verbruiksprofielen'!$F$103)/('Achtergrond verbruiksprofielen'!$G$100-'Achtergrond verbruiksprofielen'!$F$100)</f>
        <v>8000</v>
      </c>
      <c r="Y23" s="361">
        <f>'Achtergrond verbruiksprofielen'!$G$103</f>
        <v>8000</v>
      </c>
      <c r="Z23" s="361">
        <f>'Achtergrond verbruiksprofielen'!$G$103+(Z6-'Achtergrond verbruiksprofielen'!$G$100)*('Achtergrond verbruiksprofielen'!$H$103-'Achtergrond verbruiksprofielen'!$G$103)/('Achtergrond verbruiksprofielen'!$H$100-'Achtergrond verbruiksprofielen'!$G$100)</f>
        <v>8000</v>
      </c>
      <c r="AA23" s="361">
        <f>'Achtergrond verbruiksprofielen'!$G$103+(AA6-'Achtergrond verbruiksprofielen'!$G$100)*('Achtergrond verbruiksprofielen'!$H$103-'Achtergrond verbruiksprofielen'!$G$103)/('Achtergrond verbruiksprofielen'!$H$100-'Achtergrond verbruiksprofielen'!$G$100)</f>
        <v>8000</v>
      </c>
      <c r="AB23" s="361">
        <f>'Achtergrond verbruiksprofielen'!$G$103+(AB6-'Achtergrond verbruiksprofielen'!$G$100)*('Achtergrond verbruiksprofielen'!$H$103-'Achtergrond verbruiksprofielen'!$G$103)/('Achtergrond verbruiksprofielen'!$H$100-'Achtergrond verbruiksprofielen'!$G$100)</f>
        <v>8000</v>
      </c>
      <c r="AC23" s="361">
        <f>'Achtergrond verbruiksprofielen'!$G$103+(AC6-'Achtergrond verbruiksprofielen'!$G$100)*('Achtergrond verbruiksprofielen'!$H$103-'Achtergrond verbruiksprofielen'!$G$103)/('Achtergrond verbruiksprofielen'!$H$100-'Achtergrond verbruiksprofielen'!$G$100)</f>
        <v>8000</v>
      </c>
      <c r="AD23" s="361">
        <f>'Achtergrond verbruiksprofielen'!$H$103</f>
        <v>8000</v>
      </c>
      <c r="AE23" s="361">
        <f>'Achtergrond verbruiksprofielen'!$H$103</f>
        <v>8000</v>
      </c>
      <c r="AF23" s="361">
        <f>'Achtergrond verbruiksprofielen'!$H$103</f>
        <v>8000</v>
      </c>
      <c r="AG23" s="361">
        <f>'Achtergrond verbruiksprofielen'!$H$103</f>
        <v>8000</v>
      </c>
      <c r="AH23" s="361">
        <f>'Achtergrond verbruiksprofielen'!$H$103</f>
        <v>8000</v>
      </c>
      <c r="AI23" s="60"/>
      <c r="AJ23" s="60"/>
      <c r="AK23" s="60"/>
    </row>
    <row r="24" spans="1:37" x14ac:dyDescent="0.3">
      <c r="A24" s="60"/>
      <c r="B24" s="60"/>
      <c r="C24" s="60"/>
      <c r="D24" s="60"/>
      <c r="E24" s="341"/>
      <c r="F24" s="341"/>
      <c r="G24" s="341"/>
      <c r="H24" s="341"/>
      <c r="I24" s="341"/>
      <c r="J24" s="341"/>
      <c r="K24" s="341"/>
      <c r="L24" s="341"/>
      <c r="M24" s="341"/>
      <c r="N24" s="341"/>
      <c r="O24" s="341"/>
      <c r="P24" s="341"/>
      <c r="Q24" s="341"/>
      <c r="R24" s="341"/>
      <c r="S24" s="341"/>
      <c r="T24" s="341"/>
      <c r="U24" s="341"/>
      <c r="V24" s="341"/>
      <c r="W24" s="341"/>
      <c r="X24" s="341"/>
      <c r="Y24" s="341"/>
      <c r="Z24" s="341"/>
      <c r="AA24" s="341"/>
      <c r="AB24" s="341"/>
      <c r="AC24" s="341"/>
      <c r="AD24" s="341"/>
      <c r="AE24" s="341"/>
      <c r="AF24" s="341"/>
      <c r="AG24" s="341"/>
      <c r="AH24" s="341"/>
      <c r="AI24" s="60"/>
      <c r="AJ24" s="60"/>
      <c r="AK24" s="60"/>
    </row>
    <row r="25" spans="1:37" ht="15" thickBot="1" x14ac:dyDescent="0.35">
      <c r="A25" s="222"/>
      <c r="B25" s="222"/>
      <c r="C25" s="222"/>
      <c r="D25" s="222"/>
      <c r="E25" s="342"/>
      <c r="F25" s="342"/>
      <c r="G25" s="342"/>
      <c r="H25" s="342"/>
      <c r="I25" s="342"/>
      <c r="J25" s="342"/>
      <c r="K25" s="342"/>
      <c r="L25" s="342"/>
      <c r="M25" s="342"/>
      <c r="N25" s="342"/>
      <c r="O25" s="342"/>
      <c r="P25" s="342"/>
      <c r="Q25" s="342"/>
      <c r="R25" s="342"/>
      <c r="S25" s="342"/>
      <c r="T25" s="342"/>
      <c r="U25" s="342"/>
      <c r="V25" s="342"/>
      <c r="W25" s="342"/>
      <c r="X25" s="342"/>
      <c r="Y25" s="342"/>
      <c r="Z25" s="342"/>
      <c r="AA25" s="342"/>
      <c r="AB25" s="342"/>
      <c r="AC25" s="342"/>
      <c r="AD25" s="342"/>
      <c r="AE25" s="342"/>
      <c r="AF25" s="342"/>
      <c r="AG25" s="342"/>
      <c r="AH25" s="342"/>
      <c r="AI25" s="222"/>
      <c r="AJ25" s="60"/>
      <c r="AK25" s="60"/>
    </row>
    <row r="26" spans="1:37" x14ac:dyDescent="0.3">
      <c r="A26" s="60"/>
      <c r="B26" s="60"/>
      <c r="C26" s="60"/>
      <c r="D26" s="60"/>
      <c r="E26" s="341"/>
      <c r="F26" s="341"/>
      <c r="G26" s="341"/>
      <c r="H26" s="341"/>
      <c r="I26" s="341"/>
      <c r="J26" s="341"/>
      <c r="K26" s="341"/>
      <c r="L26" s="341"/>
      <c r="M26" s="341"/>
      <c r="N26" s="341"/>
      <c r="O26" s="341"/>
      <c r="P26" s="341"/>
      <c r="Q26" s="341"/>
      <c r="R26" s="341"/>
      <c r="S26" s="341"/>
      <c r="T26" s="341"/>
      <c r="U26" s="341"/>
      <c r="V26" s="341"/>
      <c r="W26" s="341"/>
      <c r="X26" s="341"/>
      <c r="Y26" s="341"/>
      <c r="Z26" s="341"/>
      <c r="AA26" s="341"/>
      <c r="AB26" s="341"/>
      <c r="AC26" s="341"/>
      <c r="AD26" s="341"/>
      <c r="AE26" s="341"/>
      <c r="AF26" s="341"/>
      <c r="AG26" s="341"/>
      <c r="AH26" s="341"/>
      <c r="AI26" s="60"/>
      <c r="AJ26" s="60"/>
      <c r="AK26" s="60"/>
    </row>
    <row r="27" spans="1:37" ht="21" x14ac:dyDescent="0.4">
      <c r="A27" s="221" t="str">
        <f>'Dropdown lists'!H4</f>
        <v>BASELOAD DAY</v>
      </c>
      <c r="B27" s="11"/>
      <c r="C27" s="11"/>
      <c r="D27" s="11"/>
      <c r="E27" s="341"/>
      <c r="F27" s="341"/>
      <c r="G27" s="341"/>
      <c r="H27" s="341"/>
      <c r="I27" s="341"/>
      <c r="J27" s="341"/>
      <c r="K27" s="341"/>
      <c r="L27" s="341"/>
      <c r="M27" s="341"/>
      <c r="N27" s="341"/>
      <c r="O27" s="341"/>
      <c r="P27" s="341"/>
      <c r="Q27" s="341"/>
      <c r="R27" s="341"/>
      <c r="S27" s="341"/>
      <c r="T27" s="341"/>
      <c r="U27" s="341"/>
      <c r="V27" s="341"/>
      <c r="W27" s="341"/>
      <c r="X27" s="341"/>
      <c r="Y27" s="341"/>
      <c r="Z27" s="341"/>
      <c r="AA27" s="341"/>
      <c r="AB27" s="341"/>
      <c r="AC27" s="341"/>
      <c r="AD27" s="341"/>
      <c r="AE27" s="341"/>
      <c r="AF27" s="341"/>
      <c r="AG27" s="341"/>
      <c r="AH27" s="341"/>
      <c r="AI27" s="60"/>
      <c r="AJ27" s="60"/>
      <c r="AK27" s="60"/>
    </row>
    <row r="28" spans="1:37" ht="15.6" x14ac:dyDescent="0.3">
      <c r="A28" s="11"/>
      <c r="B28" s="11"/>
      <c r="C28" s="11"/>
      <c r="D28" s="11"/>
      <c r="E28" s="341">
        <v>2025</v>
      </c>
      <c r="F28" s="341">
        <v>2026</v>
      </c>
      <c r="G28" s="341">
        <v>2027</v>
      </c>
      <c r="H28" s="341">
        <v>2028</v>
      </c>
      <c r="I28" s="341">
        <v>2029</v>
      </c>
      <c r="J28" s="341">
        <v>2030</v>
      </c>
      <c r="K28" s="341">
        <v>2031</v>
      </c>
      <c r="L28" s="341">
        <v>2032</v>
      </c>
      <c r="M28" s="341">
        <v>2033</v>
      </c>
      <c r="N28" s="341">
        <v>2034</v>
      </c>
      <c r="O28" s="341">
        <v>2035</v>
      </c>
      <c r="P28" s="341">
        <v>2036</v>
      </c>
      <c r="Q28" s="341">
        <v>2037</v>
      </c>
      <c r="R28" s="341">
        <v>2038</v>
      </c>
      <c r="S28" s="341">
        <v>2039</v>
      </c>
      <c r="T28" s="341">
        <v>2040</v>
      </c>
      <c r="U28" s="341">
        <v>2041</v>
      </c>
      <c r="V28" s="341">
        <v>2042</v>
      </c>
      <c r="W28" s="341">
        <v>2043</v>
      </c>
      <c r="X28" s="341">
        <v>2044</v>
      </c>
      <c r="Y28" s="341">
        <v>2045</v>
      </c>
      <c r="Z28" s="341">
        <v>2046</v>
      </c>
      <c r="AA28" s="341">
        <v>2047</v>
      </c>
      <c r="AB28" s="341">
        <v>2048</v>
      </c>
      <c r="AC28" s="341">
        <v>2049</v>
      </c>
      <c r="AD28" s="341">
        <v>2050</v>
      </c>
      <c r="AE28" s="341">
        <v>2051</v>
      </c>
      <c r="AF28" s="341">
        <v>2052</v>
      </c>
      <c r="AG28" s="341">
        <v>2053</v>
      </c>
      <c r="AH28" s="341">
        <v>2054</v>
      </c>
      <c r="AI28" s="60"/>
      <c r="AJ28" s="60"/>
      <c r="AK28" s="60"/>
    </row>
    <row r="29" spans="1:37" ht="15.6" x14ac:dyDescent="0.3">
      <c r="A29" s="66" t="s">
        <v>80</v>
      </c>
      <c r="B29" s="11"/>
      <c r="C29" s="58"/>
      <c r="D29" s="58" t="s">
        <v>81</v>
      </c>
      <c r="E29" s="58">
        <v>1</v>
      </c>
      <c r="F29" s="58">
        <v>2</v>
      </c>
      <c r="G29" s="58">
        <v>3</v>
      </c>
      <c r="H29" s="58">
        <v>4</v>
      </c>
      <c r="I29" s="58">
        <v>5</v>
      </c>
      <c r="J29" s="58">
        <v>6</v>
      </c>
      <c r="K29" s="58">
        <v>7</v>
      </c>
      <c r="L29" s="58">
        <v>8</v>
      </c>
      <c r="M29" s="58">
        <v>9</v>
      </c>
      <c r="N29" s="58">
        <v>10</v>
      </c>
      <c r="O29" s="58">
        <v>11</v>
      </c>
      <c r="P29" s="58">
        <v>12</v>
      </c>
      <c r="Q29" s="58">
        <v>13</v>
      </c>
      <c r="R29" s="58">
        <v>14</v>
      </c>
      <c r="S29" s="58">
        <v>15</v>
      </c>
      <c r="T29" s="58">
        <v>16</v>
      </c>
      <c r="U29" s="58">
        <v>17</v>
      </c>
      <c r="V29" s="58">
        <v>18</v>
      </c>
      <c r="W29" s="58">
        <v>19</v>
      </c>
      <c r="X29" s="58">
        <v>20</v>
      </c>
      <c r="Y29" s="58">
        <v>21</v>
      </c>
      <c r="Z29" s="58">
        <v>22</v>
      </c>
      <c r="AA29" s="58">
        <v>23</v>
      </c>
      <c r="AB29" s="58">
        <v>24</v>
      </c>
      <c r="AC29" s="58">
        <v>25</v>
      </c>
      <c r="AD29" s="58">
        <v>26</v>
      </c>
      <c r="AE29" s="58">
        <v>27</v>
      </c>
      <c r="AF29" s="58">
        <v>28</v>
      </c>
      <c r="AG29" s="58">
        <v>29</v>
      </c>
      <c r="AH29" s="58">
        <v>30</v>
      </c>
      <c r="AI29" s="60"/>
      <c r="AJ29" s="60"/>
      <c r="AK29" s="60"/>
    </row>
    <row r="30" spans="1:37" ht="18" x14ac:dyDescent="0.3">
      <c r="A30" s="11" t="s">
        <v>82</v>
      </c>
      <c r="B30" s="11"/>
      <c r="C30" s="33"/>
      <c r="D30" s="33" t="s">
        <v>90</v>
      </c>
      <c r="E30" s="50">
        <f>'Achtergrond verbruiksprofielen'!$C$94</f>
        <v>3.2000000000000001E-2</v>
      </c>
      <c r="F30" s="50">
        <f>'Achtergrond verbruiksprofielen'!$C$94</f>
        <v>3.2000000000000001E-2</v>
      </c>
      <c r="G30" s="50">
        <f>'Achtergrond verbruiksprofielen'!$C$94</f>
        <v>3.2000000000000001E-2</v>
      </c>
      <c r="H30" s="50">
        <f>'Achtergrond verbruiksprofielen'!$C$94</f>
        <v>3.2000000000000001E-2</v>
      </c>
      <c r="I30" s="50">
        <f>'Achtergrond verbruiksprofielen'!$C$94</f>
        <v>3.2000000000000001E-2</v>
      </c>
      <c r="J30" s="50">
        <f>'Achtergrond verbruiksprofielen'!$C$94</f>
        <v>3.2000000000000001E-2</v>
      </c>
      <c r="K30" s="50">
        <f>'Achtergrond verbruiksprofielen'!$C$94</f>
        <v>3.2000000000000001E-2</v>
      </c>
      <c r="L30" s="50">
        <f>'Achtergrond verbruiksprofielen'!$C$94</f>
        <v>3.2000000000000001E-2</v>
      </c>
      <c r="M30" s="50">
        <f>'Achtergrond verbruiksprofielen'!$C$94</f>
        <v>3.2000000000000001E-2</v>
      </c>
      <c r="N30" s="50">
        <f>'Achtergrond verbruiksprofielen'!$C$94</f>
        <v>3.2000000000000001E-2</v>
      </c>
      <c r="O30" s="50">
        <f>'Achtergrond verbruiksprofielen'!$C$94</f>
        <v>3.2000000000000001E-2</v>
      </c>
      <c r="P30" s="50">
        <f>'Achtergrond verbruiksprofielen'!$C$94</f>
        <v>3.2000000000000001E-2</v>
      </c>
      <c r="Q30" s="50">
        <f>'Achtergrond verbruiksprofielen'!$C$94</f>
        <v>3.2000000000000001E-2</v>
      </c>
      <c r="R30" s="50">
        <f>'Achtergrond verbruiksprofielen'!$C$94</f>
        <v>3.2000000000000001E-2</v>
      </c>
      <c r="S30" s="50">
        <f>'Achtergrond verbruiksprofielen'!$C$94</f>
        <v>3.2000000000000001E-2</v>
      </c>
      <c r="T30" s="50">
        <f>'Achtergrond verbruiksprofielen'!$C$94</f>
        <v>3.2000000000000001E-2</v>
      </c>
      <c r="U30" s="50">
        <f>'Achtergrond verbruiksprofielen'!$C$94</f>
        <v>3.2000000000000001E-2</v>
      </c>
      <c r="V30" s="50">
        <f>'Achtergrond verbruiksprofielen'!$C$94</f>
        <v>3.2000000000000001E-2</v>
      </c>
      <c r="W30" s="50">
        <f>'Achtergrond verbruiksprofielen'!$C$94</f>
        <v>3.2000000000000001E-2</v>
      </c>
      <c r="X30" s="50">
        <f>'Achtergrond verbruiksprofielen'!$C$94</f>
        <v>3.2000000000000001E-2</v>
      </c>
      <c r="Y30" s="50">
        <f>'Achtergrond verbruiksprofielen'!$C$94</f>
        <v>3.2000000000000001E-2</v>
      </c>
      <c r="Z30" s="50">
        <f>'Achtergrond verbruiksprofielen'!$C$94</f>
        <v>3.2000000000000001E-2</v>
      </c>
      <c r="AA30" s="50">
        <f>'Achtergrond verbruiksprofielen'!$C$94</f>
        <v>3.2000000000000001E-2</v>
      </c>
      <c r="AB30" s="50">
        <f>'Achtergrond verbruiksprofielen'!$C$94</f>
        <v>3.2000000000000001E-2</v>
      </c>
      <c r="AC30" s="50">
        <f>'Achtergrond verbruiksprofielen'!$C$94</f>
        <v>3.2000000000000001E-2</v>
      </c>
      <c r="AD30" s="50">
        <f>'Achtergrond verbruiksprofielen'!$C$94</f>
        <v>3.2000000000000001E-2</v>
      </c>
      <c r="AE30" s="50">
        <f>'Achtergrond verbruiksprofielen'!$C$94</f>
        <v>3.2000000000000001E-2</v>
      </c>
      <c r="AF30" s="50">
        <f>'Achtergrond verbruiksprofielen'!$C$94</f>
        <v>3.2000000000000001E-2</v>
      </c>
      <c r="AG30" s="50">
        <f>'Achtergrond verbruiksprofielen'!$C$94</f>
        <v>3.2000000000000001E-2</v>
      </c>
      <c r="AH30" s="50">
        <f>'Achtergrond verbruiksprofielen'!$C$94</f>
        <v>3.2000000000000001E-2</v>
      </c>
      <c r="AI30" s="60"/>
      <c r="AJ30" s="60"/>
      <c r="AK30" s="60"/>
    </row>
    <row r="31" spans="1:37" ht="18" x14ac:dyDescent="0.4">
      <c r="A31" s="11" t="s">
        <v>178</v>
      </c>
      <c r="B31" s="11"/>
      <c r="C31" s="33"/>
      <c r="D31" s="223" t="s">
        <v>167</v>
      </c>
      <c r="E31" s="35">
        <v>0</v>
      </c>
      <c r="F31" s="35">
        <v>0</v>
      </c>
      <c r="G31" s="35">
        <v>0</v>
      </c>
      <c r="H31" s="35">
        <f>_xlfn.FORECAST.LINEAR(H$6,'Achtergrond verbruiksprofielen'!$C$10:$D$10,'Achtergrond verbruiksprofielen'!$C$8:$D$8)</f>
        <v>1.3999999999999346E-2</v>
      </c>
      <c r="I31" s="35">
        <f>_xlfn.FORECAST.LINEAR(I$6,'Achtergrond verbruiksprofielen'!$C$10:$D$10,'Achtergrond verbruiksprofielen'!$C$8:$D$8)</f>
        <v>1.7833333333332924E-2</v>
      </c>
      <c r="J31" s="35">
        <f>_xlfn.FORECAST.LINEAR(J$6,'Achtergrond verbruiksprofielen'!$C$10:$D$10,'Achtergrond verbruiksprofielen'!$C$8:$D$8)</f>
        <v>2.1666666666666501E-2</v>
      </c>
      <c r="K31" s="35">
        <f>_xlfn.FORECAST.LINEAR(K$6,'Achtergrond verbruiksprofielen'!$C$10:$D$10,'Achtergrond verbruiksprofielen'!$C$8:$D$8)</f>
        <v>2.5500000000000078E-2</v>
      </c>
      <c r="L31" s="35">
        <f>_xlfn.FORECAST.LINEAR(L$6,'Achtergrond verbruiksprofielen'!$C$10:$D$10,'Achtergrond verbruiksprofielen'!$C$8:$D$8)</f>
        <v>2.9333333333332767E-2</v>
      </c>
      <c r="M31" s="35">
        <f>_xlfn.FORECAST.LINEAR(M$6,'Achtergrond verbruiksprofielen'!$C$10:$D$10,'Achtergrond verbruiksprofielen'!$C$8:$D$8)</f>
        <v>3.3166666666666345E-2</v>
      </c>
      <c r="N31" s="35">
        <f>_xlfn.FORECAST.LINEAR(N$6,'Achtergrond verbruiksprofielen'!$C$10:$D$10,'Achtergrond verbruiksprofielen'!$C$8:$D$8)</f>
        <v>3.6999999999999922E-2</v>
      </c>
      <c r="O31" s="35">
        <f>_xlfn.FORECAST.LINEAR(O$6,'Achtergrond verbruiksprofielen'!$C$10:$D$10,'Achtergrond verbruiksprofielen'!$C$8:$D$8)</f>
        <v>4.0833333333333499E-2</v>
      </c>
      <c r="P31" s="35">
        <f>_xlfn.FORECAST.LINEAR(P$6,'Achtergrond verbruiksprofielen'!$C$10:$D$10,'Achtergrond verbruiksprofielen'!$C$8:$D$8)</f>
        <v>4.4666666666666188E-2</v>
      </c>
      <c r="Q31" s="35">
        <f>_xlfn.FORECAST.LINEAR(Q$6,'Achtergrond verbruiksprofielen'!$C$10:$D$10,'Achtergrond verbruiksprofielen'!$C$8:$D$8)</f>
        <v>4.8499999999999766E-2</v>
      </c>
      <c r="R31" s="35">
        <f>_xlfn.FORECAST.LINEAR(R$6,'Achtergrond verbruiksprofielen'!$C$10:$D$10,'Achtergrond verbruiksprofielen'!$C$8:$D$8)</f>
        <v>5.2333333333333343E-2</v>
      </c>
      <c r="S31" s="35">
        <f>_xlfn.FORECAST.LINEAR(S$6,'Achtergrond verbruiksprofielen'!$C$10:$D$10,'Achtergrond verbruiksprofielen'!$C$8:$D$8)</f>
        <v>5.6166666666666032E-2</v>
      </c>
      <c r="T31" s="35">
        <f>_xlfn.FORECAST.LINEAR(T$6,'Achtergrond verbruiksprofielen'!$C$10:$D$10,'Achtergrond verbruiksprofielen'!$C$8:$D$8)</f>
        <v>5.9999999999999609E-2</v>
      </c>
      <c r="U31" s="35">
        <f>_xlfn.FORECAST.LINEAR(U$6,'Achtergrond verbruiksprofielen'!$C$10:$D$10,'Achtergrond verbruiksprofielen'!$C$8:$D$8)</f>
        <v>6.3833333333333186E-2</v>
      </c>
      <c r="V31" s="35">
        <f>_xlfn.FORECAST.LINEAR(V$6,'Achtergrond verbruiksprofielen'!$C$10:$D$10,'Achtergrond verbruiksprofielen'!$C$8:$D$8)</f>
        <v>6.7666666666666764E-2</v>
      </c>
      <c r="W31" s="35">
        <f>_xlfn.FORECAST.LINEAR(W$6,'Achtergrond verbruiksprofielen'!$C$10:$D$10,'Achtergrond verbruiksprofielen'!$C$8:$D$8)</f>
        <v>7.1499999999999453E-2</v>
      </c>
      <c r="X31" s="35">
        <f>_xlfn.FORECAST.LINEAR(X$6,'Achtergrond verbruiksprofielen'!$C$10:$D$10,'Achtergrond verbruiksprofielen'!$C$8:$D$8)</f>
        <v>7.533333333333303E-2</v>
      </c>
      <c r="Y31" s="35">
        <f>_xlfn.FORECAST.LINEAR(Y$6,'Achtergrond verbruiksprofielen'!$C$10:$D$10,'Achtergrond verbruiksprofielen'!$C$8:$D$8)</f>
        <v>7.9166666666666607E-2</v>
      </c>
      <c r="Z31" s="35">
        <f>_xlfn.FORECAST.LINEAR(Z$6,'Achtergrond verbruiksprofielen'!$C$10:$D$10,'Achtergrond verbruiksprofielen'!$C$8:$D$8)</f>
        <v>8.3000000000000185E-2</v>
      </c>
      <c r="AA31" s="35">
        <f>_xlfn.FORECAST.LINEAR(AA$6,'Achtergrond verbruiksprofielen'!$C$10:$D$10,'Achtergrond verbruiksprofielen'!$C$8:$D$8)</f>
        <v>8.6833333333332874E-2</v>
      </c>
      <c r="AB31" s="35">
        <f>_xlfn.FORECAST.LINEAR(AB$6,'Achtergrond verbruiksprofielen'!$C$10:$D$10,'Achtergrond verbruiksprofielen'!$C$8:$D$8)</f>
        <v>9.0666666666666451E-2</v>
      </c>
      <c r="AC31" s="35">
        <f>_xlfn.FORECAST.LINEAR(AC$6,'Achtergrond verbruiksprofielen'!$C$10:$D$10,'Achtergrond verbruiksprofielen'!$C$8:$D$8)</f>
        <v>9.4500000000000028E-2</v>
      </c>
      <c r="AD31" s="35">
        <f>'Achtergrond verbruiksprofielen'!$D$10</f>
        <v>0.06</v>
      </c>
      <c r="AE31" s="35">
        <f>'Achtergrond verbruiksprofielen'!$D$10</f>
        <v>0.06</v>
      </c>
      <c r="AF31" s="35">
        <f>'Achtergrond verbruiksprofielen'!$D$10</f>
        <v>0.06</v>
      </c>
      <c r="AG31" s="35">
        <f>'Achtergrond verbruiksprofielen'!$D$10</f>
        <v>0.06</v>
      </c>
      <c r="AH31" s="35">
        <f>'Achtergrond verbruiksprofielen'!$D$10</f>
        <v>0.06</v>
      </c>
      <c r="AI31" s="60"/>
      <c r="AJ31" s="60"/>
      <c r="AK31" s="60"/>
    </row>
    <row r="32" spans="1:37" ht="18" x14ac:dyDescent="0.3">
      <c r="A32" s="11" t="s">
        <v>86</v>
      </c>
      <c r="B32" s="11"/>
      <c r="C32" s="33"/>
      <c r="D32" s="33" t="s">
        <v>62</v>
      </c>
      <c r="E32" s="35">
        <f>'Achtergrond verbruiksprofielen'!$C$19</f>
        <v>0.10176977123524403</v>
      </c>
      <c r="F32" s="35">
        <f>'Achtergrond verbruiksprofielen'!$C$19+(F28-'Achtergrond verbruiksprofielen'!$C$17)*('Achtergrond verbruiksprofielen'!$D$19-'Achtergrond verbruiksprofielen'!$C$19)/('Achtergrond verbruiksprofielen'!$D$17-'Achtergrond verbruiksprofielen'!$C$17)</f>
        <v>9.9911787058694398E-2</v>
      </c>
      <c r="G32" s="35">
        <f>'Achtergrond verbruiksprofielen'!$C$19+(G28-'Achtergrond verbruiksprofielen'!$C$17)*('Achtergrond verbruiksprofielen'!$D$19-'Achtergrond verbruiksprofielen'!$C$19)/('Achtergrond verbruiksprofielen'!$D$17-'Achtergrond verbruiksprofielen'!$C$17)</f>
        <v>9.8053802882144769E-2</v>
      </c>
      <c r="H32" s="35">
        <f>'Achtergrond verbruiksprofielen'!$C$19+(H28-'Achtergrond verbruiksprofielen'!$C$17)*('Achtergrond verbruiksprofielen'!$D$19-'Achtergrond verbruiksprofielen'!$C$19)/('Achtergrond verbruiksprofielen'!$D$17-'Achtergrond verbruiksprofielen'!$C$17)</f>
        <v>9.6195818705595154E-2</v>
      </c>
      <c r="I32" s="35">
        <f>'Achtergrond verbruiksprofielen'!$C$19+(I28-'Achtergrond verbruiksprofielen'!$C$17)*('Achtergrond verbruiksprofielen'!$D$19-'Achtergrond verbruiksprofielen'!$C$19)/('Achtergrond verbruiksprofielen'!$D$17-'Achtergrond verbruiksprofielen'!$C$17)</f>
        <v>9.4337834529045525E-2</v>
      </c>
      <c r="J32" s="35">
        <f>'Achtergrond verbruiksprofielen'!$D$19</f>
        <v>9.2479850352495896E-2</v>
      </c>
      <c r="K32" s="35">
        <f>'Achtergrond verbruiksprofielen'!$D$19+(K28-'Achtergrond verbruiksprofielen'!$D$17)*('Achtergrond verbruiksprofielen'!$E$19-'Achtergrond verbruiksprofielen'!$D$19)/('Achtergrond verbruiksprofielen'!$E$17-'Achtergrond verbruiksprofielen'!$D$17)</f>
        <v>9.2295730718582741E-2</v>
      </c>
      <c r="L32" s="35">
        <f>'Achtergrond verbruiksprofielen'!$D$19+(L28-'Achtergrond verbruiksprofielen'!$D$17)*('Achtergrond verbruiksprofielen'!$E$19-'Achtergrond verbruiksprofielen'!$D$19)/('Achtergrond verbruiksprofielen'!$E$17-'Achtergrond verbruiksprofielen'!$D$17)</f>
        <v>9.2111611084669587E-2</v>
      </c>
      <c r="M32" s="35">
        <f>'Achtergrond verbruiksprofielen'!$D$19+(M28-'Achtergrond verbruiksprofielen'!$D$17)*('Achtergrond verbruiksprofielen'!$E$19-'Achtergrond verbruiksprofielen'!$D$19)/('Achtergrond verbruiksprofielen'!$E$17-'Achtergrond verbruiksprofielen'!$D$17)</f>
        <v>9.1927491450756418E-2</v>
      </c>
      <c r="N32" s="35">
        <f>'Achtergrond verbruiksprofielen'!$D$19+(N28-'Achtergrond verbruiksprofielen'!$D$17)*('Achtergrond verbruiksprofielen'!$E$19-'Achtergrond verbruiksprofielen'!$D$19)/('Achtergrond verbruiksprofielen'!$E$17-'Achtergrond verbruiksprofielen'!$D$17)</f>
        <v>9.1743371816843264E-2</v>
      </c>
      <c r="O32" s="35">
        <f>'Achtergrond verbruiksprofielen'!$E$19</f>
        <v>9.1559252182930109E-2</v>
      </c>
      <c r="P32" s="35">
        <f>'Achtergrond verbruiksprofielen'!$E$19+(P28-'Achtergrond verbruiksprofielen'!$E$17)*('Achtergrond verbruiksprofielen'!$F$19-'Achtergrond verbruiksprofielen'!$E$19)/('Achtergrond verbruiksprofielen'!$F$17-'Achtergrond verbruiksprofielen'!$E$17)</f>
        <v>8.954213787466167E-2</v>
      </c>
      <c r="Q32" s="35">
        <f>'Achtergrond verbruiksprofielen'!$E$19+(Q28-'Achtergrond verbruiksprofielen'!$E$17)*('Achtergrond verbruiksprofielen'!$F$19-'Achtergrond verbruiksprofielen'!$E$19)/('Achtergrond verbruiksprofielen'!$F$17-'Achtergrond verbruiksprofielen'!$E$17)</f>
        <v>8.7525023566393231E-2</v>
      </c>
      <c r="R32" s="35">
        <f>'Achtergrond verbruiksprofielen'!$E$19+(R28-'Achtergrond verbruiksprofielen'!$E$17)*('Achtergrond verbruiksprofielen'!$F$19-'Achtergrond verbruiksprofielen'!$E$19)/('Achtergrond verbruiksprofielen'!$F$17-'Achtergrond verbruiksprofielen'!$E$17)</f>
        <v>8.5507909258124778E-2</v>
      </c>
      <c r="S32" s="35">
        <f>'Achtergrond verbruiksprofielen'!$E$19+(S28-'Achtergrond verbruiksprofielen'!$E$17)*('Achtergrond verbruiksprofielen'!$F$19-'Achtergrond verbruiksprofielen'!$E$19)/('Achtergrond verbruiksprofielen'!$F$17-'Achtergrond verbruiksprofielen'!$E$17)</f>
        <v>8.349079494985634E-2</v>
      </c>
      <c r="T32" s="35">
        <f>'Achtergrond verbruiksprofielen'!$F$19</f>
        <v>8.1473680641587901E-2</v>
      </c>
      <c r="U32" s="35">
        <f>'Achtergrond verbruiksprofielen'!$F$19+(U28-'Achtergrond verbruiksprofielen'!$F$17)*('Achtergrond verbruiksprofielen'!$G$19-'Achtergrond verbruiksprofielen'!$F$19)/('Achtergrond verbruiksprofielen'!$G$17-'Achtergrond verbruiksprofielen'!$F$17)</f>
        <v>7.9599296500546424E-2</v>
      </c>
      <c r="V32" s="35">
        <f>'Achtergrond verbruiksprofielen'!$F$19+(V28-'Achtergrond verbruiksprofielen'!$F$17)*('Achtergrond verbruiksprofielen'!$G$19-'Achtergrond verbruiksprofielen'!$F$19)/('Achtergrond verbruiksprofielen'!$G$17-'Achtergrond verbruiksprofielen'!$F$17)</f>
        <v>7.7724912359504947E-2</v>
      </c>
      <c r="W32" s="35">
        <f>'Achtergrond verbruiksprofielen'!$F$19+(W28-'Achtergrond verbruiksprofielen'!$F$17)*('Achtergrond verbruiksprofielen'!$G$19-'Achtergrond verbruiksprofielen'!$F$19)/('Achtergrond verbruiksprofielen'!$G$17-'Achtergrond verbruiksprofielen'!$F$17)</f>
        <v>7.5850528218463484E-2</v>
      </c>
      <c r="X32" s="35">
        <f>'Achtergrond verbruiksprofielen'!$F$19+(X28-'Achtergrond verbruiksprofielen'!$F$17)*('Achtergrond verbruiksprofielen'!$G$19-'Achtergrond verbruiksprofielen'!$F$19)/('Achtergrond verbruiksprofielen'!$G$17-'Achtergrond verbruiksprofielen'!$F$17)</f>
        <v>7.3976144077422007E-2</v>
      </c>
      <c r="Y32" s="35">
        <f>'Achtergrond verbruiksprofielen'!$G$19</f>
        <v>7.210175993638053E-2</v>
      </c>
      <c r="Z32" s="35">
        <f>'Achtergrond verbruiksprofielen'!$G$19+(Z28-'Achtergrond verbruiksprofielen'!$G$17)*('Achtergrond verbruiksprofielen'!$H$19-'Achtergrond verbruiksprofielen'!$G$19)/('Achtergrond verbruiksprofielen'!$H$17-'Achtergrond verbruiksprofielen'!$G$17)</f>
        <v>7.4231790704202771E-2</v>
      </c>
      <c r="AA32" s="35">
        <f>'Achtergrond verbruiksprofielen'!$G$19+(AA28-'Achtergrond verbruiksprofielen'!$G$17)*('Achtergrond verbruiksprofielen'!$H$19-'Achtergrond verbruiksprofielen'!$G$19)/('Achtergrond verbruiksprofielen'!$H$17-'Achtergrond verbruiksprofielen'!$G$17)</f>
        <v>7.6361821472025027E-2</v>
      </c>
      <c r="AB32" s="35">
        <f>'Achtergrond verbruiksprofielen'!$G$19+(AB28-'Achtergrond verbruiksprofielen'!$G$17)*('Achtergrond verbruiksprofielen'!$H$19-'Achtergrond verbruiksprofielen'!$G$19)/('Achtergrond verbruiksprofielen'!$H$17-'Achtergrond verbruiksprofielen'!$G$17)</f>
        <v>7.8491852239847268E-2</v>
      </c>
      <c r="AC32" s="35">
        <f>'Achtergrond verbruiksprofielen'!$G$19+(AC28-'Achtergrond verbruiksprofielen'!$G$17)*('Achtergrond verbruiksprofielen'!$H$19-'Achtergrond verbruiksprofielen'!$G$19)/('Achtergrond verbruiksprofielen'!$H$17-'Achtergrond verbruiksprofielen'!$G$17)</f>
        <v>8.0621883007669523E-2</v>
      </c>
      <c r="AD32" s="35">
        <f>'Achtergrond verbruiksprofielen'!$H$19</f>
        <v>8.2751913775491764E-2</v>
      </c>
      <c r="AE32" s="35">
        <f>'Achtergrond verbruiksprofielen'!$H$19</f>
        <v>8.2751913775491764E-2</v>
      </c>
      <c r="AF32" s="35">
        <f>'Achtergrond verbruiksprofielen'!$H$19</f>
        <v>8.2751913775491764E-2</v>
      </c>
      <c r="AG32" s="35">
        <f>'Achtergrond verbruiksprofielen'!$H$19</f>
        <v>8.2751913775491764E-2</v>
      </c>
      <c r="AH32" s="35">
        <f>'Achtergrond verbruiksprofielen'!$H$19</f>
        <v>8.2751913775491764E-2</v>
      </c>
      <c r="AI32" s="60"/>
      <c r="AJ32" s="60"/>
      <c r="AK32" s="60"/>
    </row>
    <row r="33" spans="1:37" ht="15.6" x14ac:dyDescent="0.3">
      <c r="A33" s="11" t="s">
        <v>87</v>
      </c>
      <c r="B33" s="11"/>
      <c r="C33" s="33"/>
      <c r="D33" s="33" t="s">
        <v>88</v>
      </c>
      <c r="E33" s="361">
        <f>'Achtergrond verbruiksprofielen'!$C$20</f>
        <v>3040</v>
      </c>
      <c r="F33" s="361">
        <f>'Achtergrond verbruiksprofielen'!$C$20+(F28-'Achtergrond verbruiksprofielen'!$C$17)*('Achtergrond verbruiksprofielen'!$D$20-'Achtergrond verbruiksprofielen'!$C$20)/('Achtergrond verbruiksprofielen'!$D$17-'Achtergrond verbruiksprofielen'!$C$17)</f>
        <v>3040</v>
      </c>
      <c r="G33" s="361">
        <f>'Achtergrond verbruiksprofielen'!$C$20+(G28-'Achtergrond verbruiksprofielen'!$C$17)*('Achtergrond verbruiksprofielen'!$D$20-'Achtergrond verbruiksprofielen'!$C$20)/('Achtergrond verbruiksprofielen'!$D$17-'Achtergrond verbruiksprofielen'!$C$17)</f>
        <v>3040</v>
      </c>
      <c r="H33" s="361">
        <f>'Achtergrond verbruiksprofielen'!$C$20+(H28-'Achtergrond verbruiksprofielen'!$C$17)*('Achtergrond verbruiksprofielen'!$D$20-'Achtergrond verbruiksprofielen'!$C$20)/('Achtergrond verbruiksprofielen'!$D$17-'Achtergrond verbruiksprofielen'!$C$17)</f>
        <v>3040</v>
      </c>
      <c r="I33" s="361">
        <f>'Achtergrond verbruiksprofielen'!$C$20+(I28-'Achtergrond verbruiksprofielen'!$C$17)*('Achtergrond verbruiksprofielen'!$D$20-'Achtergrond verbruiksprofielen'!$C$20)/('Achtergrond verbruiksprofielen'!$D$17-'Achtergrond verbruiksprofielen'!$C$17)</f>
        <v>3040</v>
      </c>
      <c r="J33" s="361">
        <f>'Achtergrond verbruiksprofielen'!$D$20</f>
        <v>3040</v>
      </c>
      <c r="K33" s="361">
        <f>'Achtergrond verbruiksprofielen'!$D$20+(K28-'Achtergrond verbruiksprofielen'!$D$17)*('Achtergrond verbruiksprofielen'!$E$20-'Achtergrond verbruiksprofielen'!$D$20)/('Achtergrond verbruiksprofielen'!$E$17-'Achtergrond verbruiksprofielen'!$D$17)</f>
        <v>3040</v>
      </c>
      <c r="L33" s="361">
        <f>'Achtergrond verbruiksprofielen'!$D$20+(L28-'Achtergrond verbruiksprofielen'!$D$17)*('Achtergrond verbruiksprofielen'!$E$20-'Achtergrond verbruiksprofielen'!$D$20)/('Achtergrond verbruiksprofielen'!$E$17-'Achtergrond verbruiksprofielen'!$D$17)</f>
        <v>3040</v>
      </c>
      <c r="M33" s="361">
        <f>'Achtergrond verbruiksprofielen'!$D$20+(M28-'Achtergrond verbruiksprofielen'!$D$17)*('Achtergrond verbruiksprofielen'!$E$20-'Achtergrond verbruiksprofielen'!$D$20)/('Achtergrond verbruiksprofielen'!$E$17-'Achtergrond verbruiksprofielen'!$D$17)</f>
        <v>3040</v>
      </c>
      <c r="N33" s="361">
        <f>'Achtergrond verbruiksprofielen'!$D$20+(N28-'Achtergrond verbruiksprofielen'!$D$17)*('Achtergrond verbruiksprofielen'!$E$20-'Achtergrond verbruiksprofielen'!$D$20)/('Achtergrond verbruiksprofielen'!$E$17-'Achtergrond verbruiksprofielen'!$D$17)</f>
        <v>3040</v>
      </c>
      <c r="O33" s="361">
        <f>'Achtergrond verbruiksprofielen'!$E$20</f>
        <v>3040</v>
      </c>
      <c r="P33" s="361">
        <f>'Achtergrond verbruiksprofielen'!$E$20+(P28-'Achtergrond verbruiksprofielen'!$E$17)*('Achtergrond verbruiksprofielen'!$F$20-'Achtergrond verbruiksprofielen'!$E$20)/('Achtergrond verbruiksprofielen'!$F$17-'Achtergrond verbruiksprofielen'!$E$17)</f>
        <v>3040</v>
      </c>
      <c r="Q33" s="361">
        <f>'Achtergrond verbruiksprofielen'!$E$20+(Q28-'Achtergrond verbruiksprofielen'!$E$17)*('Achtergrond verbruiksprofielen'!$F$20-'Achtergrond verbruiksprofielen'!$E$20)/('Achtergrond verbruiksprofielen'!$F$17-'Achtergrond verbruiksprofielen'!$E$17)</f>
        <v>3040</v>
      </c>
      <c r="R33" s="361">
        <f>'Achtergrond verbruiksprofielen'!$E$20+(R28-'Achtergrond verbruiksprofielen'!$E$17)*('Achtergrond verbruiksprofielen'!$F$20-'Achtergrond verbruiksprofielen'!$E$20)/('Achtergrond verbruiksprofielen'!$F$17-'Achtergrond verbruiksprofielen'!$E$17)</f>
        <v>3040</v>
      </c>
      <c r="S33" s="361">
        <f>'Achtergrond verbruiksprofielen'!$E$20+(S28-'Achtergrond verbruiksprofielen'!$E$17)*('Achtergrond verbruiksprofielen'!$F$20-'Achtergrond verbruiksprofielen'!$E$20)/('Achtergrond verbruiksprofielen'!$F$17-'Achtergrond verbruiksprofielen'!$E$17)</f>
        <v>3040</v>
      </c>
      <c r="T33" s="361">
        <f>'Achtergrond verbruiksprofielen'!$F$20</f>
        <v>3040</v>
      </c>
      <c r="U33" s="361">
        <f>'Achtergrond verbruiksprofielen'!$F$20+(U28-'Achtergrond verbruiksprofielen'!$F$17)*('Achtergrond verbruiksprofielen'!$G$20-'Achtergrond verbruiksprofielen'!$F$20)/('Achtergrond verbruiksprofielen'!$G$17-'Achtergrond verbruiksprofielen'!$F$17)</f>
        <v>3040</v>
      </c>
      <c r="V33" s="361">
        <f>'Achtergrond verbruiksprofielen'!$F$20+(V28-'Achtergrond verbruiksprofielen'!$F$17)*('Achtergrond verbruiksprofielen'!$G$20-'Achtergrond verbruiksprofielen'!$F$20)/('Achtergrond verbruiksprofielen'!$G$17-'Achtergrond verbruiksprofielen'!$F$17)</f>
        <v>3040</v>
      </c>
      <c r="W33" s="361">
        <f>'Achtergrond verbruiksprofielen'!$F$20+(W28-'Achtergrond verbruiksprofielen'!$F$17)*('Achtergrond verbruiksprofielen'!$G$20-'Achtergrond verbruiksprofielen'!$F$20)/('Achtergrond verbruiksprofielen'!$G$17-'Achtergrond verbruiksprofielen'!$F$17)</f>
        <v>3040</v>
      </c>
      <c r="X33" s="361">
        <f>'Achtergrond verbruiksprofielen'!$F$20+(X28-'Achtergrond verbruiksprofielen'!$F$17)*('Achtergrond verbruiksprofielen'!$G$20-'Achtergrond verbruiksprofielen'!$F$20)/('Achtergrond verbruiksprofielen'!$G$17-'Achtergrond verbruiksprofielen'!$F$17)</f>
        <v>3040</v>
      </c>
      <c r="Y33" s="361">
        <f>'Achtergrond verbruiksprofielen'!$G$20</f>
        <v>3040</v>
      </c>
      <c r="Z33" s="361">
        <f>'Achtergrond verbruiksprofielen'!$G$20+(Z28-'Achtergrond verbruiksprofielen'!$G$17)*('Achtergrond verbruiksprofielen'!$H$20-'Achtergrond verbruiksprofielen'!$G$20)/('Achtergrond verbruiksprofielen'!$H$17-'Achtergrond verbruiksprofielen'!$G$17)</f>
        <v>3040</v>
      </c>
      <c r="AA33" s="361">
        <f>'Achtergrond verbruiksprofielen'!$G$20+(AA28-'Achtergrond verbruiksprofielen'!$G$17)*('Achtergrond verbruiksprofielen'!$H$20-'Achtergrond verbruiksprofielen'!$G$20)/('Achtergrond verbruiksprofielen'!$H$17-'Achtergrond verbruiksprofielen'!$G$17)</f>
        <v>3040</v>
      </c>
      <c r="AB33" s="361">
        <f>'Achtergrond verbruiksprofielen'!$G$20+(AB28-'Achtergrond verbruiksprofielen'!$G$17)*('Achtergrond verbruiksprofielen'!$H$20-'Achtergrond verbruiksprofielen'!$G$20)/('Achtergrond verbruiksprofielen'!$H$17-'Achtergrond verbruiksprofielen'!$G$17)</f>
        <v>3040</v>
      </c>
      <c r="AC33" s="361">
        <f>'Achtergrond verbruiksprofielen'!$G$20+(AC28-'Achtergrond verbruiksprofielen'!$G$17)*('Achtergrond verbruiksprofielen'!$H$20-'Achtergrond verbruiksprofielen'!$G$20)/('Achtergrond verbruiksprofielen'!$H$17-'Achtergrond verbruiksprofielen'!$G$17)</f>
        <v>3040</v>
      </c>
      <c r="AD33" s="361">
        <f>'Achtergrond verbruiksprofielen'!$H$20</f>
        <v>3040</v>
      </c>
      <c r="AE33" s="361">
        <f>'Achtergrond verbruiksprofielen'!$H$20</f>
        <v>3040</v>
      </c>
      <c r="AF33" s="361">
        <f>'Achtergrond verbruiksprofielen'!$H$20</f>
        <v>3040</v>
      </c>
      <c r="AG33" s="361">
        <f>'Achtergrond verbruiksprofielen'!$H$20</f>
        <v>3040</v>
      </c>
      <c r="AH33" s="361">
        <f>'Achtergrond verbruiksprofielen'!$H$20</f>
        <v>3040</v>
      </c>
      <c r="AI33" s="60"/>
      <c r="AJ33" s="60"/>
      <c r="AK33" s="60"/>
    </row>
    <row r="34" spans="1:37" ht="15.6" x14ac:dyDescent="0.3">
      <c r="A34" s="11"/>
      <c r="B34" s="11"/>
      <c r="C34" s="11"/>
      <c r="D34" s="11"/>
      <c r="E34" s="341"/>
      <c r="F34" s="341"/>
      <c r="G34" s="341"/>
      <c r="H34" s="341"/>
      <c r="I34" s="341"/>
      <c r="J34" s="341"/>
      <c r="K34" s="341"/>
      <c r="L34" s="341"/>
      <c r="M34" s="341"/>
      <c r="N34" s="341"/>
      <c r="O34" s="341"/>
      <c r="P34" s="341"/>
      <c r="Q34" s="341"/>
      <c r="R34" s="341"/>
      <c r="S34" s="341"/>
      <c r="T34" s="341"/>
      <c r="U34" s="341"/>
      <c r="V34" s="341"/>
      <c r="W34" s="341"/>
      <c r="X34" s="341"/>
      <c r="Y34" s="341"/>
      <c r="Z34" s="341"/>
      <c r="AA34" s="341"/>
      <c r="AB34" s="341"/>
      <c r="AC34" s="341"/>
      <c r="AD34" s="341"/>
      <c r="AE34" s="341"/>
      <c r="AF34" s="341"/>
      <c r="AG34" s="341"/>
      <c r="AH34" s="341"/>
      <c r="AI34" s="60"/>
      <c r="AJ34" s="60"/>
      <c r="AK34" s="60"/>
    </row>
    <row r="35" spans="1:37" ht="15.6" x14ac:dyDescent="0.3">
      <c r="A35" s="66" t="s">
        <v>89</v>
      </c>
      <c r="B35" s="11"/>
      <c r="C35" s="11"/>
      <c r="D35" s="58" t="s">
        <v>81</v>
      </c>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60"/>
      <c r="AJ35" s="60"/>
      <c r="AK35" s="60"/>
    </row>
    <row r="36" spans="1:37" ht="18" x14ac:dyDescent="0.3">
      <c r="A36" s="11" t="s">
        <v>82</v>
      </c>
      <c r="B36" s="11"/>
      <c r="C36" s="11"/>
      <c r="D36" s="33" t="s">
        <v>90</v>
      </c>
      <c r="E36" s="50">
        <f>'Achtergrond verbruiksprofielen'!$C$50</f>
        <v>2.4E-2</v>
      </c>
      <c r="F36" s="50">
        <f>'Achtergrond verbruiksprofielen'!$C$50</f>
        <v>2.4E-2</v>
      </c>
      <c r="G36" s="50">
        <f>'Achtergrond verbruiksprofielen'!$C$50</f>
        <v>2.4E-2</v>
      </c>
      <c r="H36" s="50">
        <f>'Achtergrond verbruiksprofielen'!$C$50</f>
        <v>2.4E-2</v>
      </c>
      <c r="I36" s="50">
        <f>'Achtergrond verbruiksprofielen'!$C$50</f>
        <v>2.4E-2</v>
      </c>
      <c r="J36" s="50">
        <f>'Achtergrond verbruiksprofielen'!$C$50</f>
        <v>2.4E-2</v>
      </c>
      <c r="K36" s="50">
        <f>'Achtergrond verbruiksprofielen'!$C$50</f>
        <v>2.4E-2</v>
      </c>
      <c r="L36" s="50">
        <f>'Achtergrond verbruiksprofielen'!$C$50</f>
        <v>2.4E-2</v>
      </c>
      <c r="M36" s="50">
        <f>'Achtergrond verbruiksprofielen'!$C$50</f>
        <v>2.4E-2</v>
      </c>
      <c r="N36" s="50">
        <f>'Achtergrond verbruiksprofielen'!$C$50</f>
        <v>2.4E-2</v>
      </c>
      <c r="O36" s="50">
        <f>'Achtergrond verbruiksprofielen'!$C$50</f>
        <v>2.4E-2</v>
      </c>
      <c r="P36" s="50">
        <f>'Achtergrond verbruiksprofielen'!$C$50</f>
        <v>2.4E-2</v>
      </c>
      <c r="Q36" s="50">
        <f>'Achtergrond verbruiksprofielen'!$C$50</f>
        <v>2.4E-2</v>
      </c>
      <c r="R36" s="50">
        <f>'Achtergrond verbruiksprofielen'!$C$50</f>
        <v>2.4E-2</v>
      </c>
      <c r="S36" s="50">
        <f>'Achtergrond verbruiksprofielen'!$C$50</f>
        <v>2.4E-2</v>
      </c>
      <c r="T36" s="50">
        <f>'Achtergrond verbruiksprofielen'!$C$50</f>
        <v>2.4E-2</v>
      </c>
      <c r="U36" s="50">
        <f>'Achtergrond verbruiksprofielen'!$C$50</f>
        <v>2.4E-2</v>
      </c>
      <c r="V36" s="50">
        <f>'Achtergrond verbruiksprofielen'!$C$50</f>
        <v>2.4E-2</v>
      </c>
      <c r="W36" s="50">
        <f>'Achtergrond verbruiksprofielen'!$C$50</f>
        <v>2.4E-2</v>
      </c>
      <c r="X36" s="50">
        <f>'Achtergrond verbruiksprofielen'!$C$50</f>
        <v>2.4E-2</v>
      </c>
      <c r="Y36" s="50">
        <f>'Achtergrond verbruiksprofielen'!$C$50</f>
        <v>2.4E-2</v>
      </c>
      <c r="Z36" s="50">
        <f>'Achtergrond verbruiksprofielen'!$C$50</f>
        <v>2.4E-2</v>
      </c>
      <c r="AA36" s="50">
        <f>'Achtergrond verbruiksprofielen'!$C$50</f>
        <v>2.4E-2</v>
      </c>
      <c r="AB36" s="50">
        <f>'Achtergrond verbruiksprofielen'!$C$50</f>
        <v>2.4E-2</v>
      </c>
      <c r="AC36" s="50">
        <f>'Achtergrond verbruiksprofielen'!$C$50</f>
        <v>2.4E-2</v>
      </c>
      <c r="AD36" s="50">
        <f>'Achtergrond verbruiksprofielen'!$C$50</f>
        <v>2.4E-2</v>
      </c>
      <c r="AE36" s="50">
        <f>'Achtergrond verbruiksprofielen'!$C$50</f>
        <v>2.4E-2</v>
      </c>
      <c r="AF36" s="50">
        <f>'Achtergrond verbruiksprofielen'!$C$50</f>
        <v>2.4E-2</v>
      </c>
      <c r="AG36" s="50">
        <f>'Achtergrond verbruiksprofielen'!$C$50</f>
        <v>2.4E-2</v>
      </c>
      <c r="AH36" s="50">
        <f>'Achtergrond verbruiksprofielen'!$C$50</f>
        <v>2.4E-2</v>
      </c>
      <c r="AI36" s="60"/>
      <c r="AJ36" s="60"/>
      <c r="AK36" s="60"/>
    </row>
    <row r="37" spans="1:37" ht="18" x14ac:dyDescent="0.4">
      <c r="A37" s="11" t="s">
        <v>178</v>
      </c>
      <c r="B37" s="11"/>
      <c r="C37" s="11"/>
      <c r="D37" s="223" t="s">
        <v>167</v>
      </c>
      <c r="E37" s="35">
        <v>0</v>
      </c>
      <c r="F37" s="35">
        <v>0</v>
      </c>
      <c r="G37" s="35">
        <v>0</v>
      </c>
      <c r="H37" s="35">
        <f>_xlfn.FORECAST.LINEAR(H$6,'Achtergrond verbruiksprofielen'!$C$54:$D$54,'Achtergrond verbruiksprofielen'!$C$52:$D$52)</f>
        <v>8.0000000000008953E-3</v>
      </c>
      <c r="I37" s="35">
        <f>_xlfn.FORECAST.LINEAR(I$6,'Achtergrond verbruiksprofielen'!$C$54:$D$54,'Achtergrond verbruiksprofielen'!$C$52:$D$52)</f>
        <v>1.3999999999999346E-2</v>
      </c>
      <c r="J37" s="35">
        <f>'Achtergrond verbruiksprofielen'!$D$54</f>
        <v>0.02</v>
      </c>
      <c r="K37" s="35">
        <f>_xlfn.FORECAST.LINEAR(K$6,'Achtergrond verbruiksprofielen'!$D$54:$E$54,'Achtergrond verbruiksprofielen'!$D$52:$E$52)</f>
        <v>2.3999999999999133E-2</v>
      </c>
      <c r="L37" s="35">
        <f>_xlfn.FORECAST.LINEAR(L$6,'Achtergrond verbruiksprofielen'!$D$54:$E$54,'Achtergrond verbruiksprofielen'!$D$52:$E$52)</f>
        <v>2.7999999999998693E-2</v>
      </c>
      <c r="M37" s="35">
        <f>_xlfn.FORECAST.LINEAR(M$6,'Achtergrond verbruiksprofielen'!$D$54:$E$54,'Achtergrond verbruiksprofielen'!$D$52:$E$52)</f>
        <v>3.1999999999998252E-2</v>
      </c>
      <c r="N37" s="35">
        <f>_xlfn.FORECAST.LINEAR(N$6,'Achtergrond verbruiksprofielen'!$D$54:$E$54,'Achtergrond verbruiksprofielen'!$D$52:$E$52)</f>
        <v>3.5999999999999588E-2</v>
      </c>
      <c r="O37" s="35">
        <f>'Achtergrond verbruiksprofielen'!$E$54</f>
        <v>0.04</v>
      </c>
      <c r="P37" s="35">
        <f>_xlfn.FORECAST.LINEAR(P$6,'Achtergrond verbruiksprofielen'!$E$54:$F$54,'Achtergrond verbruiksprofielen'!$E$52:$F$52)</f>
        <v>4.4000000000000483E-2</v>
      </c>
      <c r="Q37" s="35">
        <f>_xlfn.FORECAST.LINEAR(Q$6,'Achtergrond verbruiksprofielen'!$E$54:$F$54,'Achtergrond verbruiksprofielen'!$E$52:$F$52)</f>
        <v>4.8000000000000043E-2</v>
      </c>
      <c r="R37" s="35">
        <f>_xlfn.FORECAST.LINEAR(R$6,'Achtergrond verbruiksprofielen'!$E$54:$F$54,'Achtergrond verbruiksprofielen'!$E$52:$F$52)</f>
        <v>5.2000000000001378E-2</v>
      </c>
      <c r="S37" s="35">
        <f>_xlfn.FORECAST.LINEAR(S$6,'Achtergrond verbruiksprofielen'!$E$54:$F$54,'Achtergrond verbruiksprofielen'!$E$52:$F$52)</f>
        <v>5.6000000000000938E-2</v>
      </c>
      <c r="T37" s="35">
        <f>'Achtergrond verbruiksprofielen'!$F$54</f>
        <v>0.06</v>
      </c>
      <c r="U37" s="35">
        <f>'Achtergrond verbruiksprofielen'!$F$54</f>
        <v>0.06</v>
      </c>
      <c r="V37" s="35">
        <f>'Achtergrond verbruiksprofielen'!$F$54</f>
        <v>0.06</v>
      </c>
      <c r="W37" s="35">
        <f>'Achtergrond verbruiksprofielen'!$F$54</f>
        <v>0.06</v>
      </c>
      <c r="X37" s="35">
        <f>'Achtergrond verbruiksprofielen'!$F$54</f>
        <v>0.06</v>
      </c>
      <c r="Y37" s="35">
        <f>'Achtergrond verbruiksprofielen'!$F$54</f>
        <v>0.06</v>
      </c>
      <c r="Z37" s="35">
        <f>'Achtergrond verbruiksprofielen'!$F$54</f>
        <v>0.06</v>
      </c>
      <c r="AA37" s="35">
        <f>'Achtergrond verbruiksprofielen'!$F$54</f>
        <v>0.06</v>
      </c>
      <c r="AB37" s="35">
        <f>'Achtergrond verbruiksprofielen'!$F$54</f>
        <v>0.06</v>
      </c>
      <c r="AC37" s="35">
        <f>'Achtergrond verbruiksprofielen'!$F$54</f>
        <v>0.06</v>
      </c>
      <c r="AD37" s="35">
        <f>'Achtergrond verbruiksprofielen'!$F$54</f>
        <v>0.06</v>
      </c>
      <c r="AE37" s="35">
        <f>'Achtergrond verbruiksprofielen'!$F$54</f>
        <v>0.06</v>
      </c>
      <c r="AF37" s="35">
        <f>'Achtergrond verbruiksprofielen'!$F$54</f>
        <v>0.06</v>
      </c>
      <c r="AG37" s="35">
        <f>'Achtergrond verbruiksprofielen'!$F$54</f>
        <v>0.06</v>
      </c>
      <c r="AH37" s="35">
        <f>'Achtergrond verbruiksprofielen'!$F$54</f>
        <v>0.06</v>
      </c>
      <c r="AI37" s="60"/>
      <c r="AJ37" s="60"/>
      <c r="AK37" s="60"/>
    </row>
    <row r="38" spans="1:37" ht="18" x14ac:dyDescent="0.3">
      <c r="A38" s="11" t="s">
        <v>86</v>
      </c>
      <c r="B38" s="11"/>
      <c r="C38" s="11"/>
      <c r="D38" s="33" t="s">
        <v>62</v>
      </c>
      <c r="E38" s="35">
        <f>'Achtergrond verbruiksprofielen'!$C$63</f>
        <v>0.11176977123524402</v>
      </c>
      <c r="F38" s="35">
        <f>'Achtergrond verbruiksprofielen'!$C$63+(F28-'Achtergrond verbruiksprofielen'!$C$61)*('Achtergrond verbruiksprofielen'!$D$63-'Achtergrond verbruiksprofielen'!$C$63)/('Achtergrond verbruiksprofielen'!$D$61-'Achtergrond verbruiksprofielen'!$C$61)</f>
        <v>0.10791204366220959</v>
      </c>
      <c r="G38" s="35">
        <f>'Achtergrond verbruiksprofielen'!$C$63+(G28-'Achtergrond verbruiksprofielen'!$C$61)*('Achtergrond verbruiksprofielen'!$D$63-'Achtergrond verbruiksprofielen'!$C$63)/('Achtergrond verbruiksprofielen'!$D$61-'Achtergrond verbruiksprofielen'!$C$61)</f>
        <v>0.10405431608917518</v>
      </c>
      <c r="H38" s="35">
        <f>'Achtergrond verbruiksprofielen'!$C$63+(H28-'Achtergrond verbruiksprofielen'!$C$61)*('Achtergrond verbruiksprofielen'!$D$63-'Achtergrond verbruiksprofielen'!$C$63)/('Achtergrond verbruiksprofielen'!$D$61-'Achtergrond verbruiksprofielen'!$C$61)</f>
        <v>0.10019658851614074</v>
      </c>
      <c r="I38" s="35">
        <f>'Achtergrond verbruiksprofielen'!$C$63+(I28-'Achtergrond verbruiksprofielen'!$C$61)*('Achtergrond verbruiksprofielen'!$D$63-'Achtergrond verbruiksprofielen'!$C$63)/('Achtergrond verbruiksprofielen'!$D$61-'Achtergrond verbruiksprofielen'!$C$61)</f>
        <v>9.6338860943106328E-2</v>
      </c>
      <c r="J38" s="35">
        <f>'Achtergrond verbruiksprofielen'!$D$63</f>
        <v>9.2481133370071897E-2</v>
      </c>
      <c r="K38" s="35">
        <f>'Achtergrond verbruiksprofielen'!$D$63+(K28-'Achtergrond verbruiksprofielen'!$D$61)*('Achtergrond verbruiksprofielen'!$E$63-'Achtergrond verbruiksprofielen'!$D$63)/('Achtergrond verbruiksprofielen'!$E$61-'Achtergrond verbruiksprofielen'!$D$61)</f>
        <v>9.1001863054963078E-2</v>
      </c>
      <c r="L38" s="35">
        <f>'Achtergrond verbruiksprofielen'!$D$63+(L28-'Achtergrond verbruiksprofielen'!$D$61)*('Achtergrond verbruiksprofielen'!$E$63-'Achtergrond verbruiksprofielen'!$D$63)/('Achtergrond verbruiksprofielen'!$E$61-'Achtergrond verbruiksprofielen'!$D$61)</f>
        <v>8.9522592739854245E-2</v>
      </c>
      <c r="M38" s="35">
        <f>'Achtergrond verbruiksprofielen'!$D$63+(M28-'Achtergrond verbruiksprofielen'!$D$61)*('Achtergrond verbruiksprofielen'!$E$63-'Achtergrond verbruiksprofielen'!$D$63)/('Achtergrond verbruiksprofielen'!$E$61-'Achtergrond verbruiksprofielen'!$D$61)</f>
        <v>8.8043322424745427E-2</v>
      </c>
      <c r="N38" s="35">
        <f>'Achtergrond verbruiksprofielen'!$D$63+(N28-'Achtergrond verbruiksprofielen'!$D$61)*('Achtergrond verbruiksprofielen'!$E$63-'Achtergrond verbruiksprofielen'!$D$63)/('Achtergrond verbruiksprofielen'!$E$61-'Achtergrond verbruiksprofielen'!$D$61)</f>
        <v>8.6564052109636594E-2</v>
      </c>
      <c r="O38" s="35">
        <f>'Achtergrond verbruiksprofielen'!$E$63</f>
        <v>8.5084781794527775E-2</v>
      </c>
      <c r="P38" s="35">
        <f>'Achtergrond verbruiksprofielen'!$E$63+(P28-'Achtergrond verbruiksprofielen'!$E$61)*('Achtergrond verbruiksprofielen'!$F$63-'Achtergrond verbruiksprofielen'!$E$63)/('Achtergrond verbruiksprofielen'!$F$61-'Achtergrond verbruiksprofielen'!$E$61)</f>
        <v>8.6020241139505765E-2</v>
      </c>
      <c r="Q38" s="35">
        <f>'Achtergrond verbruiksprofielen'!$E$63+(Q28-'Achtergrond verbruiksprofielen'!$E$61)*('Achtergrond verbruiksprofielen'!$F$63-'Achtergrond verbruiksprofielen'!$E$63)/('Achtergrond verbruiksprofielen'!$F$61-'Achtergrond verbruiksprofielen'!$E$61)</f>
        <v>8.6955700484483756E-2</v>
      </c>
      <c r="R38" s="35">
        <f>'Achtergrond verbruiksprofielen'!$E$63+(R28-'Achtergrond verbruiksprofielen'!$E$61)*('Achtergrond verbruiksprofielen'!$F$63-'Achtergrond verbruiksprofielen'!$E$63)/('Achtergrond verbruiksprofielen'!$F$61-'Achtergrond verbruiksprofielen'!$E$61)</f>
        <v>8.7891159829461732E-2</v>
      </c>
      <c r="S38" s="35">
        <f>'Achtergrond verbruiksprofielen'!$E$63+(S28-'Achtergrond verbruiksprofielen'!$E$61)*('Achtergrond verbruiksprofielen'!$F$63-'Achtergrond verbruiksprofielen'!$E$63)/('Achtergrond verbruiksprofielen'!$F$61-'Achtergrond verbruiksprofielen'!$E$61)</f>
        <v>8.8826619174439722E-2</v>
      </c>
      <c r="T38" s="35">
        <f>'Achtergrond verbruiksprofielen'!$F$63</f>
        <v>8.9762078519417712E-2</v>
      </c>
      <c r="U38" s="35">
        <f>'Achtergrond verbruiksprofielen'!$F$63+(U28-'Achtergrond verbruiksprofielen'!$F$61)*('Achtergrond verbruiksprofielen'!$G$63-'Achtergrond verbruiksprofielen'!$F$63)/('Achtergrond verbruiksprofielen'!$G$61-'Achtergrond verbruiksprofielen'!$F$61)</f>
        <v>8.9790967777700514E-2</v>
      </c>
      <c r="V38" s="35">
        <f>'Achtergrond verbruiksprofielen'!$F$63+(V28-'Achtergrond verbruiksprofielen'!$F$61)*('Achtergrond verbruiksprofielen'!$G$63-'Achtergrond verbruiksprofielen'!$F$63)/('Achtergrond verbruiksprofielen'!$G$61-'Achtergrond verbruiksprofielen'!$F$61)</f>
        <v>8.9819857035983303E-2</v>
      </c>
      <c r="W38" s="35">
        <f>'Achtergrond verbruiksprofielen'!$F$63+(W28-'Achtergrond verbruiksprofielen'!$F$61)*('Achtergrond verbruiksprofielen'!$G$63-'Achtergrond verbruiksprofielen'!$F$63)/('Achtergrond verbruiksprofielen'!$G$61-'Achtergrond verbruiksprofielen'!$F$61)</f>
        <v>8.9848746294266105E-2</v>
      </c>
      <c r="X38" s="35">
        <f>'Achtergrond verbruiksprofielen'!$F$63+(X28-'Achtergrond verbruiksprofielen'!$F$61)*('Achtergrond verbruiksprofielen'!$G$63-'Achtergrond verbruiksprofielen'!$F$63)/('Achtergrond verbruiksprofielen'!$G$61-'Achtergrond verbruiksprofielen'!$F$61)</f>
        <v>8.9877635552548893E-2</v>
      </c>
      <c r="Y38" s="35">
        <f>'Achtergrond verbruiksprofielen'!$G$63</f>
        <v>8.9906524810831695E-2</v>
      </c>
      <c r="Z38" s="35">
        <f>'Achtergrond verbruiksprofielen'!$G$63+(Z28-'Achtergrond verbruiksprofielen'!$G$61)*('Achtergrond verbruiksprofielen'!$H$63-'Achtergrond verbruiksprofielen'!$G$63)/('Achtergrond verbruiksprofielen'!$H$61-'Achtergrond verbruiksprofielen'!$G$61)</f>
        <v>8.8739679034858479E-2</v>
      </c>
      <c r="AA38" s="35">
        <f>'Achtergrond verbruiksprofielen'!$G$63+(AA28-'Achtergrond verbruiksprofielen'!$G$61)*('Achtergrond verbruiksprofielen'!$H$63-'Achtergrond verbruiksprofielen'!$G$63)/('Achtergrond verbruiksprofielen'!$H$61-'Achtergrond verbruiksprofielen'!$G$61)</f>
        <v>8.7572833258885277E-2</v>
      </c>
      <c r="AB38" s="35">
        <f>'Achtergrond verbruiksprofielen'!$G$63+(AB28-'Achtergrond verbruiksprofielen'!$G$61)*('Achtergrond verbruiksprofielen'!$H$63-'Achtergrond verbruiksprofielen'!$G$63)/('Achtergrond verbruiksprofielen'!$H$61-'Achtergrond verbruiksprofielen'!$G$61)</f>
        <v>8.6405987482912061E-2</v>
      </c>
      <c r="AC38" s="35">
        <f>'Achtergrond verbruiksprofielen'!$G$63+(AC28-'Achtergrond verbruiksprofielen'!$G$61)*('Achtergrond verbruiksprofielen'!$H$63-'Achtergrond verbruiksprofielen'!$G$63)/('Achtergrond verbruiksprofielen'!$H$61-'Achtergrond verbruiksprofielen'!$G$61)</f>
        <v>8.5239141706938859E-2</v>
      </c>
      <c r="AD38" s="35">
        <f>'Achtergrond verbruiksprofielen'!$H$63</f>
        <v>8.4072295930965643E-2</v>
      </c>
      <c r="AE38" s="35">
        <f>'Achtergrond verbruiksprofielen'!$H$63</f>
        <v>8.4072295930965643E-2</v>
      </c>
      <c r="AF38" s="35">
        <f>'Achtergrond verbruiksprofielen'!$H$63</f>
        <v>8.4072295930965643E-2</v>
      </c>
      <c r="AG38" s="35">
        <f>'Achtergrond verbruiksprofielen'!$H$63</f>
        <v>8.4072295930965643E-2</v>
      </c>
      <c r="AH38" s="35">
        <f>'Achtergrond verbruiksprofielen'!$H$63</f>
        <v>8.4072295930965643E-2</v>
      </c>
      <c r="AI38" s="60"/>
      <c r="AJ38" s="60"/>
      <c r="AK38" s="60"/>
    </row>
    <row r="39" spans="1:37" ht="15.6" x14ac:dyDescent="0.3">
      <c r="A39" s="11" t="s">
        <v>87</v>
      </c>
      <c r="B39" s="11"/>
      <c r="C39" s="33"/>
      <c r="D39" s="33" t="s">
        <v>88</v>
      </c>
      <c r="E39" s="361">
        <f>'Achtergrond verbruiksprofielen'!$C$64</f>
        <v>3040</v>
      </c>
      <c r="F39" s="361">
        <f>'Achtergrond verbruiksprofielen'!$C$64+(F28-'Achtergrond verbruiksprofielen'!$C$61)*('Achtergrond verbruiksprofielen'!$D$64-'Achtergrond verbruiksprofielen'!$C$64)/('Achtergrond verbruiksprofielen'!$D$61-'Achtergrond verbruiksprofielen'!$C$61)</f>
        <v>3040</v>
      </c>
      <c r="G39" s="361">
        <f>'Achtergrond verbruiksprofielen'!$C$64+(G28-'Achtergrond verbruiksprofielen'!$C$61)*('Achtergrond verbruiksprofielen'!$D$64-'Achtergrond verbruiksprofielen'!$C$64)/('Achtergrond verbruiksprofielen'!$D$61-'Achtergrond verbruiksprofielen'!$C$61)</f>
        <v>3040</v>
      </c>
      <c r="H39" s="361">
        <f>'Achtergrond verbruiksprofielen'!$C$64+(H28-'Achtergrond verbruiksprofielen'!$C$61)*('Achtergrond verbruiksprofielen'!$D$64-'Achtergrond verbruiksprofielen'!$C$64)/('Achtergrond verbruiksprofielen'!$D$61-'Achtergrond verbruiksprofielen'!$C$61)</f>
        <v>3040</v>
      </c>
      <c r="I39" s="361">
        <f>'Achtergrond verbruiksprofielen'!$C$64+(I28-'Achtergrond verbruiksprofielen'!$C$61)*('Achtergrond verbruiksprofielen'!$D$64-'Achtergrond verbruiksprofielen'!$C$64)/('Achtergrond verbruiksprofielen'!$D$61-'Achtergrond verbruiksprofielen'!$C$61)</f>
        <v>3040</v>
      </c>
      <c r="J39" s="361">
        <f>'Achtergrond verbruiksprofielen'!$D$64</f>
        <v>3040</v>
      </c>
      <c r="K39" s="361">
        <f>'Achtergrond verbruiksprofielen'!$D$64+(K28-'Achtergrond verbruiksprofielen'!$D$61)*('Achtergrond verbruiksprofielen'!$E$64-'Achtergrond verbruiksprofielen'!$D$64)/('Achtergrond verbruiksprofielen'!$E$61-'Achtergrond verbruiksprofielen'!$D$61)</f>
        <v>3040</v>
      </c>
      <c r="L39" s="361">
        <f>'Achtergrond verbruiksprofielen'!$D$64+(L28-'Achtergrond verbruiksprofielen'!$D$61)*('Achtergrond verbruiksprofielen'!$E$64-'Achtergrond verbruiksprofielen'!$D$64)/('Achtergrond verbruiksprofielen'!$E$61-'Achtergrond verbruiksprofielen'!$D$61)</f>
        <v>3040</v>
      </c>
      <c r="M39" s="361">
        <f>'Achtergrond verbruiksprofielen'!$D$64+(M28-'Achtergrond verbruiksprofielen'!$D$61)*('Achtergrond verbruiksprofielen'!$E$64-'Achtergrond verbruiksprofielen'!$D$64)/('Achtergrond verbruiksprofielen'!$E$61-'Achtergrond verbruiksprofielen'!$D$61)</f>
        <v>3040</v>
      </c>
      <c r="N39" s="361">
        <f>'Achtergrond verbruiksprofielen'!$D$64+(N28-'Achtergrond verbruiksprofielen'!$D$61)*('Achtergrond verbruiksprofielen'!$E$64-'Achtergrond verbruiksprofielen'!$D$64)/('Achtergrond verbruiksprofielen'!$E$61-'Achtergrond verbruiksprofielen'!$D$61)</f>
        <v>3040</v>
      </c>
      <c r="O39" s="361">
        <f>'Achtergrond verbruiksprofielen'!$E$64</f>
        <v>3040</v>
      </c>
      <c r="P39" s="361">
        <f>'Achtergrond verbruiksprofielen'!$E$64+(P28-'Achtergrond verbruiksprofielen'!$E$61)*('Achtergrond verbruiksprofielen'!$F$64-'Achtergrond verbruiksprofielen'!$E$64)/('Achtergrond verbruiksprofielen'!$F$61-'Achtergrond verbruiksprofielen'!$E$61)</f>
        <v>3040</v>
      </c>
      <c r="Q39" s="361">
        <f>'Achtergrond verbruiksprofielen'!$E$64+(Q28-'Achtergrond verbruiksprofielen'!$E$61)*('Achtergrond verbruiksprofielen'!$F$64-'Achtergrond verbruiksprofielen'!$E$64)/('Achtergrond verbruiksprofielen'!$F$61-'Achtergrond verbruiksprofielen'!$E$61)</f>
        <v>3040</v>
      </c>
      <c r="R39" s="361">
        <f>'Achtergrond verbruiksprofielen'!$E$64+(R28-'Achtergrond verbruiksprofielen'!$E$61)*('Achtergrond verbruiksprofielen'!$F$64-'Achtergrond verbruiksprofielen'!$E$64)/('Achtergrond verbruiksprofielen'!$F$61-'Achtergrond verbruiksprofielen'!$E$61)</f>
        <v>3040</v>
      </c>
      <c r="S39" s="361">
        <f>'Achtergrond verbruiksprofielen'!$E$64+(S28-'Achtergrond verbruiksprofielen'!$E$61)*('Achtergrond verbruiksprofielen'!$F$64-'Achtergrond verbruiksprofielen'!$E$64)/('Achtergrond verbruiksprofielen'!$F$61-'Achtergrond verbruiksprofielen'!$E$61)</f>
        <v>3040</v>
      </c>
      <c r="T39" s="361">
        <f>'Achtergrond verbruiksprofielen'!$F$64</f>
        <v>3040</v>
      </c>
      <c r="U39" s="361">
        <f>'Achtergrond verbruiksprofielen'!$F$64+(U28-'Achtergrond verbruiksprofielen'!$F$61)*('Achtergrond verbruiksprofielen'!$G$64-'Achtergrond verbruiksprofielen'!$F$64)/('Achtergrond verbruiksprofielen'!$G$61-'Achtergrond verbruiksprofielen'!$F$61)</f>
        <v>3040</v>
      </c>
      <c r="V39" s="361">
        <f>'Achtergrond verbruiksprofielen'!$F$64+(V28-'Achtergrond verbruiksprofielen'!$F$61)*('Achtergrond verbruiksprofielen'!$G$64-'Achtergrond verbruiksprofielen'!$F$64)/('Achtergrond verbruiksprofielen'!$G$61-'Achtergrond verbruiksprofielen'!$F$61)</f>
        <v>3040</v>
      </c>
      <c r="W39" s="361">
        <f>'Achtergrond verbruiksprofielen'!$F$64+(W28-'Achtergrond verbruiksprofielen'!$F$61)*('Achtergrond verbruiksprofielen'!$G$64-'Achtergrond verbruiksprofielen'!$F$64)/('Achtergrond verbruiksprofielen'!$G$61-'Achtergrond verbruiksprofielen'!$F$61)</f>
        <v>3040</v>
      </c>
      <c r="X39" s="361">
        <f>'Achtergrond verbruiksprofielen'!$F$64+(X28-'Achtergrond verbruiksprofielen'!$F$61)*('Achtergrond verbruiksprofielen'!$G$64-'Achtergrond verbruiksprofielen'!$F$64)/('Achtergrond verbruiksprofielen'!$G$61-'Achtergrond verbruiksprofielen'!$F$61)</f>
        <v>3040</v>
      </c>
      <c r="Y39" s="361">
        <f>'Achtergrond verbruiksprofielen'!$G$64</f>
        <v>3040</v>
      </c>
      <c r="Z39" s="361">
        <f>'Achtergrond verbruiksprofielen'!$G$64+(Z28-'Achtergrond verbruiksprofielen'!$G$61)*('Achtergrond verbruiksprofielen'!$H$64-'Achtergrond verbruiksprofielen'!$G$64)/('Achtergrond verbruiksprofielen'!$H$61-'Achtergrond verbruiksprofielen'!$G$61)</f>
        <v>3040</v>
      </c>
      <c r="AA39" s="361">
        <f>'Achtergrond verbruiksprofielen'!$G$64+(AA28-'Achtergrond verbruiksprofielen'!$G$61)*('Achtergrond verbruiksprofielen'!$H$64-'Achtergrond verbruiksprofielen'!$G$64)/('Achtergrond verbruiksprofielen'!$H$61-'Achtergrond verbruiksprofielen'!$G$61)</f>
        <v>3040</v>
      </c>
      <c r="AB39" s="361">
        <f>'Achtergrond verbruiksprofielen'!$G$64+(AB28-'Achtergrond verbruiksprofielen'!$G$61)*('Achtergrond verbruiksprofielen'!$H$64-'Achtergrond verbruiksprofielen'!$G$64)/('Achtergrond verbruiksprofielen'!$H$61-'Achtergrond verbruiksprofielen'!$G$61)</f>
        <v>3040</v>
      </c>
      <c r="AC39" s="361">
        <f>'Achtergrond verbruiksprofielen'!$G$64+(AC28-'Achtergrond verbruiksprofielen'!$G$61)*('Achtergrond verbruiksprofielen'!$H$64-'Achtergrond verbruiksprofielen'!$G$64)/('Achtergrond verbruiksprofielen'!$H$61-'Achtergrond verbruiksprofielen'!$G$61)</f>
        <v>3040</v>
      </c>
      <c r="AD39" s="361">
        <f>'Achtergrond verbruiksprofielen'!$H$64</f>
        <v>3040</v>
      </c>
      <c r="AE39" s="361">
        <f>'Achtergrond verbruiksprofielen'!$H$64</f>
        <v>3040</v>
      </c>
      <c r="AF39" s="361">
        <f>'Achtergrond verbruiksprofielen'!$H$64</f>
        <v>3040</v>
      </c>
      <c r="AG39" s="361">
        <f>'Achtergrond verbruiksprofielen'!$H$64</f>
        <v>3040</v>
      </c>
      <c r="AH39" s="361">
        <f>'Achtergrond verbruiksprofielen'!$H$64</f>
        <v>3040</v>
      </c>
      <c r="AI39" s="60"/>
      <c r="AJ39" s="60"/>
      <c r="AK39" s="60"/>
    </row>
    <row r="40" spans="1:37" ht="15.6" x14ac:dyDescent="0.3">
      <c r="A40" s="11"/>
      <c r="B40" s="11"/>
      <c r="C40" s="11"/>
      <c r="D40" s="11"/>
      <c r="E40" s="341"/>
      <c r="F40" s="341"/>
      <c r="G40" s="341"/>
      <c r="H40" s="341"/>
      <c r="I40" s="341"/>
      <c r="J40" s="341"/>
      <c r="K40" s="341"/>
      <c r="L40" s="341"/>
      <c r="M40" s="341"/>
      <c r="N40" s="341"/>
      <c r="O40" s="341"/>
      <c r="P40" s="341"/>
      <c r="Q40" s="341"/>
      <c r="R40" s="341"/>
      <c r="S40" s="341"/>
      <c r="T40" s="341"/>
      <c r="U40" s="341"/>
      <c r="V40" s="341"/>
      <c r="W40" s="341"/>
      <c r="X40" s="341"/>
      <c r="Y40" s="341"/>
      <c r="Z40" s="341"/>
      <c r="AA40" s="341"/>
      <c r="AB40" s="341"/>
      <c r="AC40" s="341"/>
      <c r="AD40" s="341"/>
      <c r="AE40" s="341"/>
      <c r="AF40" s="341"/>
      <c r="AG40" s="341"/>
      <c r="AH40" s="341"/>
      <c r="AI40" s="60"/>
      <c r="AJ40" s="60"/>
      <c r="AK40" s="60"/>
    </row>
    <row r="41" spans="1:37" ht="15.6" x14ac:dyDescent="0.3">
      <c r="A41" s="66" t="s">
        <v>91</v>
      </c>
      <c r="B41" s="11"/>
      <c r="C41" s="11"/>
      <c r="D41" s="58" t="s">
        <v>81</v>
      </c>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60"/>
      <c r="AJ41" s="60"/>
      <c r="AK41" s="60"/>
    </row>
    <row r="42" spans="1:37" ht="18" x14ac:dyDescent="0.3">
      <c r="A42" s="11" t="s">
        <v>82</v>
      </c>
      <c r="B42" s="11"/>
      <c r="C42" s="11"/>
      <c r="D42" s="33" t="s">
        <v>90</v>
      </c>
      <c r="E42" s="50">
        <f>'Achtergrond verbruiksprofielen'!$C$94</f>
        <v>3.2000000000000001E-2</v>
      </c>
      <c r="F42" s="50">
        <f>'Achtergrond verbruiksprofielen'!$C$94</f>
        <v>3.2000000000000001E-2</v>
      </c>
      <c r="G42" s="50">
        <f>'Achtergrond verbruiksprofielen'!$C$94</f>
        <v>3.2000000000000001E-2</v>
      </c>
      <c r="H42" s="50">
        <f>'Achtergrond verbruiksprofielen'!$C$94</f>
        <v>3.2000000000000001E-2</v>
      </c>
      <c r="I42" s="50">
        <f>'Achtergrond verbruiksprofielen'!$C$94</f>
        <v>3.2000000000000001E-2</v>
      </c>
      <c r="J42" s="50">
        <f>'Achtergrond verbruiksprofielen'!$C$94</f>
        <v>3.2000000000000001E-2</v>
      </c>
      <c r="K42" s="50">
        <f>'Achtergrond verbruiksprofielen'!$C$94</f>
        <v>3.2000000000000001E-2</v>
      </c>
      <c r="L42" s="50">
        <f>'Achtergrond verbruiksprofielen'!$C$94</f>
        <v>3.2000000000000001E-2</v>
      </c>
      <c r="M42" s="50">
        <f>'Achtergrond verbruiksprofielen'!$C$94</f>
        <v>3.2000000000000001E-2</v>
      </c>
      <c r="N42" s="50">
        <f>'Achtergrond verbruiksprofielen'!$C$94</f>
        <v>3.2000000000000001E-2</v>
      </c>
      <c r="O42" s="50">
        <f>'Achtergrond verbruiksprofielen'!$C$94</f>
        <v>3.2000000000000001E-2</v>
      </c>
      <c r="P42" s="50">
        <f>'Achtergrond verbruiksprofielen'!$C$94</f>
        <v>3.2000000000000001E-2</v>
      </c>
      <c r="Q42" s="50">
        <f>'Achtergrond verbruiksprofielen'!$C$94</f>
        <v>3.2000000000000001E-2</v>
      </c>
      <c r="R42" s="50">
        <f>'Achtergrond verbruiksprofielen'!$C$94</f>
        <v>3.2000000000000001E-2</v>
      </c>
      <c r="S42" s="50">
        <f>'Achtergrond verbruiksprofielen'!$C$94</f>
        <v>3.2000000000000001E-2</v>
      </c>
      <c r="T42" s="50">
        <f>'Achtergrond verbruiksprofielen'!$C$94</f>
        <v>3.2000000000000001E-2</v>
      </c>
      <c r="U42" s="50">
        <f>'Achtergrond verbruiksprofielen'!$C$94</f>
        <v>3.2000000000000001E-2</v>
      </c>
      <c r="V42" s="50">
        <f>'Achtergrond verbruiksprofielen'!$C$94</f>
        <v>3.2000000000000001E-2</v>
      </c>
      <c r="W42" s="50">
        <f>'Achtergrond verbruiksprofielen'!$C$94</f>
        <v>3.2000000000000001E-2</v>
      </c>
      <c r="X42" s="50">
        <f>'Achtergrond verbruiksprofielen'!$C$94</f>
        <v>3.2000000000000001E-2</v>
      </c>
      <c r="Y42" s="50">
        <f>'Achtergrond verbruiksprofielen'!$C$94</f>
        <v>3.2000000000000001E-2</v>
      </c>
      <c r="Z42" s="50">
        <f>'Achtergrond verbruiksprofielen'!$C$94</f>
        <v>3.2000000000000001E-2</v>
      </c>
      <c r="AA42" s="50">
        <f>'Achtergrond verbruiksprofielen'!$C$94</f>
        <v>3.2000000000000001E-2</v>
      </c>
      <c r="AB42" s="50">
        <f>'Achtergrond verbruiksprofielen'!$C$94</f>
        <v>3.2000000000000001E-2</v>
      </c>
      <c r="AC42" s="50">
        <f>'Achtergrond verbruiksprofielen'!$C$94</f>
        <v>3.2000000000000001E-2</v>
      </c>
      <c r="AD42" s="50">
        <f>'Achtergrond verbruiksprofielen'!$C$94</f>
        <v>3.2000000000000001E-2</v>
      </c>
      <c r="AE42" s="50">
        <f>'Achtergrond verbruiksprofielen'!$C$94</f>
        <v>3.2000000000000001E-2</v>
      </c>
      <c r="AF42" s="50">
        <f>'Achtergrond verbruiksprofielen'!$C$94</f>
        <v>3.2000000000000001E-2</v>
      </c>
      <c r="AG42" s="50">
        <f>'Achtergrond verbruiksprofielen'!$C$94</f>
        <v>3.2000000000000001E-2</v>
      </c>
      <c r="AH42" s="50">
        <f>'Achtergrond verbruiksprofielen'!$C$94</f>
        <v>3.2000000000000001E-2</v>
      </c>
      <c r="AI42" s="60"/>
      <c r="AJ42" s="60"/>
      <c r="AK42" s="60"/>
    </row>
    <row r="43" spans="1:37" ht="18" x14ac:dyDescent="0.4">
      <c r="A43" s="11" t="s">
        <v>178</v>
      </c>
      <c r="B43" s="11"/>
      <c r="C43" s="11"/>
      <c r="D43" s="223" t="s">
        <v>167</v>
      </c>
      <c r="E43" s="35">
        <v>0</v>
      </c>
      <c r="F43" s="35">
        <v>0</v>
      </c>
      <c r="G43" s="35">
        <v>0</v>
      </c>
      <c r="H43" s="35">
        <f>_xlfn.FORECAST.LINEAR(H$6,'Achtergrond verbruiksprofielen'!$C$98:$D$98,'Achtergrond verbruiksprofielen'!$C$96:$D$96)</f>
        <v>1.3999999999995794E-2</v>
      </c>
      <c r="I43" s="35">
        <f>_xlfn.FORECAST.LINEAR(I$6,'Achtergrond verbruiksprofielen'!$C$98:$D$98,'Achtergrond verbruiksprofielen'!$C$96:$D$96)</f>
        <v>2.9333333333330103E-2</v>
      </c>
      <c r="J43" s="35">
        <f>_xlfn.FORECAST.LINEAR(J$6,'Achtergrond verbruiksprofielen'!$C$98:$D$98,'Achtergrond verbruiksprofielen'!$C$96:$D$96)</f>
        <v>4.4666666666664412E-2</v>
      </c>
      <c r="K43" s="35">
        <f>_xlfn.FORECAST.LINEAR(K$6,'Achtergrond verbruiksprofielen'!$C$98:$D$98,'Achtergrond verbruiksprofielen'!$C$96:$D$96)</f>
        <v>5.9999999999998721E-2</v>
      </c>
      <c r="L43" s="35">
        <f>_xlfn.FORECAST.LINEAR(L$6,'Achtergrond verbruiksprofielen'!$C$98:$D$98,'Achtergrond verbruiksprofielen'!$C$96:$D$96)</f>
        <v>7.5333333333329477E-2</v>
      </c>
      <c r="M43" s="35">
        <f>_xlfn.FORECAST.LINEAR(M$6,'Achtergrond verbruiksprofielen'!$C$98:$D$98,'Achtergrond verbruiksprofielen'!$C$96:$D$96)</f>
        <v>9.0666666666663787E-2</v>
      </c>
      <c r="N43" s="35">
        <f>_xlfn.FORECAST.LINEAR(N$6,'Achtergrond verbruiksprofielen'!$C$98:$D$98,'Achtergrond verbruiksprofielen'!$C$96:$D$96)</f>
        <v>0.1059999999999981</v>
      </c>
      <c r="O43" s="35">
        <f>_xlfn.FORECAST.LINEAR(O$6,'Achtergrond verbruiksprofielen'!$C$98:$D$98,'Achtergrond verbruiksprofielen'!$C$96:$D$96)</f>
        <v>0.1213333333333324</v>
      </c>
      <c r="P43" s="35">
        <f>_xlfn.FORECAST.LINEAR(P$6,'Achtergrond verbruiksprofielen'!$C$98:$D$98,'Achtergrond verbruiksprofielen'!$C$96:$D$96)</f>
        <v>0.13666666666666316</v>
      </c>
      <c r="Q43" s="35">
        <f>_xlfn.FORECAST.LINEAR(Q$6,'Achtergrond verbruiksprofielen'!$C$98:$D$98,'Achtergrond verbruiksprofielen'!$C$96:$D$96)</f>
        <v>0.15199999999999747</v>
      </c>
      <c r="R43" s="35">
        <f>_xlfn.FORECAST.LINEAR(R$6,'Achtergrond verbruiksprofielen'!$C$98:$D$98,'Achtergrond verbruiksprofielen'!$C$96:$D$96)</f>
        <v>0.16733333333333178</v>
      </c>
      <c r="S43" s="35">
        <f>_xlfn.FORECAST.LINEAR(S$6,'Achtergrond verbruiksprofielen'!$C$98:$D$98,'Achtergrond verbruiksprofielen'!$C$96:$D$96)</f>
        <v>0.18266666666666254</v>
      </c>
      <c r="T43" s="35">
        <f>_xlfn.FORECAST.LINEAR(T$6,'Achtergrond verbruiksprofielen'!$C$98:$D$98,'Achtergrond verbruiksprofielen'!$C$96:$D$96)</f>
        <v>0.19799999999999685</v>
      </c>
      <c r="U43" s="35">
        <f>_xlfn.FORECAST.LINEAR(U$6,'Achtergrond verbruiksprofielen'!$C$98:$D$98,'Achtergrond verbruiksprofielen'!$C$96:$D$96)</f>
        <v>0.21333333333333115</v>
      </c>
      <c r="V43" s="35">
        <f>_xlfn.FORECAST.LINEAR(V$6,'Achtergrond verbruiksprofielen'!$C$98:$D$98,'Achtergrond verbruiksprofielen'!$C$96:$D$96)</f>
        <v>0.22866666666666546</v>
      </c>
      <c r="W43" s="35">
        <f>_xlfn.FORECAST.LINEAR(W$6,'Achtergrond verbruiksprofielen'!$C$98:$D$98,'Achtergrond verbruiksprofielen'!$C$96:$D$96)</f>
        <v>0.24399999999999622</v>
      </c>
      <c r="X43" s="35">
        <f>_xlfn.FORECAST.LINEAR(X$6,'Achtergrond verbruiksprofielen'!$C$98:$D$98,'Achtergrond verbruiksprofielen'!$C$96:$D$96)</f>
        <v>0.25933333333333053</v>
      </c>
      <c r="Y43" s="35">
        <f>_xlfn.FORECAST.LINEAR(Y$6,'Achtergrond verbruiksprofielen'!$C$98:$D$98,'Achtergrond verbruiksprofielen'!$C$96:$D$96)</f>
        <v>0.27466666666666484</v>
      </c>
      <c r="Z43" s="35">
        <f>_xlfn.FORECAST.LINEAR(Z$6,'Achtergrond verbruiksprofielen'!$C$98:$D$98,'Achtergrond verbruiksprofielen'!$C$96:$D$96)</f>
        <v>0.28999999999999915</v>
      </c>
      <c r="AA43" s="35">
        <f>_xlfn.FORECAST.LINEAR(AA$6,'Achtergrond verbruiksprofielen'!$C$98:$D$98,'Achtergrond verbruiksprofielen'!$C$96:$D$96)</f>
        <v>0.3053333333333299</v>
      </c>
      <c r="AB43" s="35">
        <f>_xlfn.FORECAST.LINEAR(AB$6,'Achtergrond verbruiksprofielen'!$C$98:$D$98,'Achtergrond verbruiksprofielen'!$C$96:$D$96)</f>
        <v>0.32066666666666421</v>
      </c>
      <c r="AC43" s="35">
        <f>_xlfn.FORECAST.LINEAR(AC$6,'Achtergrond verbruiksprofielen'!$C$98:$D$98,'Achtergrond verbruiksprofielen'!$C$96:$D$96)</f>
        <v>0.33599999999999852</v>
      </c>
      <c r="AD43" s="35">
        <f>'Achtergrond verbruiksprofielen'!$D$98</f>
        <v>0.06</v>
      </c>
      <c r="AE43" s="35">
        <f>'Achtergrond verbruiksprofielen'!$D$98</f>
        <v>0.06</v>
      </c>
      <c r="AF43" s="35">
        <f>'Achtergrond verbruiksprofielen'!$D$98</f>
        <v>0.06</v>
      </c>
      <c r="AG43" s="35">
        <f>'Achtergrond verbruiksprofielen'!$D$98</f>
        <v>0.06</v>
      </c>
      <c r="AH43" s="35">
        <f>'Achtergrond verbruiksprofielen'!$D$98</f>
        <v>0.06</v>
      </c>
      <c r="AI43" s="60"/>
      <c r="AJ43" s="60"/>
      <c r="AK43" s="60"/>
    </row>
    <row r="44" spans="1:37" ht="18" x14ac:dyDescent="0.3">
      <c r="A44" s="11" t="s">
        <v>86</v>
      </c>
      <c r="B44" s="11"/>
      <c r="C44" s="11"/>
      <c r="D44" s="33" t="s">
        <v>62</v>
      </c>
      <c r="E44" s="35">
        <f>'Achtergrond verbruiksprofielen'!$C$107</f>
        <v>8.4341847956330623E-2</v>
      </c>
      <c r="F44" s="35">
        <f>'Achtergrond verbruiksprofielen'!$C$107+(F28-'Achtergrond verbruiksprofielen'!$C$105)*('Achtergrond verbruiksprofielen'!$D$107-'Achtergrond verbruiksprofielen'!$C$107)/('Achtergrond verbruiksprofielen'!$D$105-'Achtergrond verbruiksprofielen'!$C$105)</f>
        <v>8.321894276628998E-2</v>
      </c>
      <c r="G44" s="35">
        <f>'Achtergrond verbruiksprofielen'!$C$107+(G28-'Achtergrond verbruiksprofielen'!$C$105)*('Achtergrond verbruiksprofielen'!$D$107-'Achtergrond verbruiksprofielen'!$C$107)/('Achtergrond verbruiksprofielen'!$D$105-'Achtergrond verbruiksprofielen'!$C$105)</f>
        <v>8.2096037576249323E-2</v>
      </c>
      <c r="H44" s="35">
        <f>'Achtergrond verbruiksprofielen'!$C$107+(H28-'Achtergrond verbruiksprofielen'!$C$105)*('Achtergrond verbruiksprofielen'!$D$107-'Achtergrond verbruiksprofielen'!$C$107)/('Achtergrond verbruiksprofielen'!$D$105-'Achtergrond verbruiksprofielen'!$C$105)</f>
        <v>8.0973132386208679E-2</v>
      </c>
      <c r="I44" s="35">
        <f>'Achtergrond verbruiksprofielen'!$C$107+(I28-'Achtergrond verbruiksprofielen'!$C$105)*('Achtergrond verbruiksprofielen'!$D$107-'Achtergrond verbruiksprofielen'!$C$107)/('Achtergrond verbruiksprofielen'!$D$105-'Achtergrond verbruiksprofielen'!$C$105)</f>
        <v>7.9850227196168022E-2</v>
      </c>
      <c r="J44" s="35">
        <f>'Achtergrond verbruiksprofielen'!$D$107</f>
        <v>7.8727322006127379E-2</v>
      </c>
      <c r="K44" s="35">
        <f>'Achtergrond verbruiksprofielen'!$D$107+(K28-'Achtergrond verbruiksprofielen'!$D$105)*('Achtergrond verbruiksprofielen'!$E$107-'Achtergrond verbruiksprofielen'!$D$107)/('Achtergrond verbruiksprofielen'!$E$105-'Achtergrond verbruiksprofielen'!$D$105)</f>
        <v>7.663074077029175E-2</v>
      </c>
      <c r="L44" s="35">
        <f>'Achtergrond verbruiksprofielen'!$D$107+(L28-'Achtergrond verbruiksprofielen'!$D$105)*('Achtergrond verbruiksprofielen'!$E$107-'Achtergrond verbruiksprofielen'!$D$107)/('Achtergrond verbruiksprofielen'!$E$105-'Achtergrond verbruiksprofielen'!$D$105)</f>
        <v>7.4534159534456121E-2</v>
      </c>
      <c r="M44" s="35">
        <f>'Achtergrond verbruiksprofielen'!$D$107+(M28-'Achtergrond verbruiksprofielen'!$D$105)*('Achtergrond verbruiksprofielen'!$E$107-'Achtergrond verbruiksprofielen'!$D$107)/('Achtergrond verbruiksprofielen'!$E$105-'Achtergrond verbruiksprofielen'!$D$105)</f>
        <v>7.2437578298620506E-2</v>
      </c>
      <c r="N44" s="35">
        <f>'Achtergrond verbruiksprofielen'!$D$107+(N28-'Achtergrond verbruiksprofielen'!$D$105)*('Achtergrond verbruiksprofielen'!$E$107-'Achtergrond verbruiksprofielen'!$D$107)/('Achtergrond verbruiksprofielen'!$E$105-'Achtergrond verbruiksprofielen'!$D$105)</f>
        <v>7.0340997062784877E-2</v>
      </c>
      <c r="O44" s="35">
        <f>'Achtergrond verbruiksprofielen'!$E$107</f>
        <v>6.8244415826949248E-2</v>
      </c>
      <c r="P44" s="35">
        <f>'Achtergrond verbruiksprofielen'!$E$107+(P28-'Achtergrond verbruiksprofielen'!$E$105)*('Achtergrond verbruiksprofielen'!$F$107-'Achtergrond verbruiksprofielen'!$E$107)/('Achtergrond verbruiksprofielen'!$F$105-'Achtergrond verbruiksprofielen'!$E$105)</f>
        <v>6.7643033063375088E-2</v>
      </c>
      <c r="Q44" s="35">
        <f>'Achtergrond verbruiksprofielen'!$E$107+(Q28-'Achtergrond verbruiksprofielen'!$E$105)*('Achtergrond verbruiksprofielen'!$F$107-'Achtergrond verbruiksprofielen'!$E$107)/('Achtergrond verbruiksprofielen'!$F$105-'Achtergrond verbruiksprofielen'!$E$105)</f>
        <v>6.7041650299800915E-2</v>
      </c>
      <c r="R44" s="35">
        <f>'Achtergrond verbruiksprofielen'!$E$107+(R28-'Achtergrond verbruiksprofielen'!$E$105)*('Achtergrond verbruiksprofielen'!$F$107-'Achtergrond verbruiksprofielen'!$E$107)/('Achtergrond verbruiksprofielen'!$F$105-'Achtergrond verbruiksprofielen'!$E$105)</f>
        <v>6.6440267536226755E-2</v>
      </c>
      <c r="S44" s="35">
        <f>'Achtergrond verbruiksprofielen'!$E$107+(S28-'Achtergrond verbruiksprofielen'!$E$105)*('Achtergrond verbruiksprofielen'!$F$107-'Achtergrond verbruiksprofielen'!$E$107)/('Achtergrond verbruiksprofielen'!$F$105-'Achtergrond verbruiksprofielen'!$E$105)</f>
        <v>6.5838884772652581E-2</v>
      </c>
      <c r="T44" s="35">
        <f>'Achtergrond verbruiksprofielen'!$F$107</f>
        <v>6.5237502009078421E-2</v>
      </c>
      <c r="U44" s="35">
        <f>'Achtergrond verbruiksprofielen'!$F$107+(U28-'Achtergrond verbruiksprofielen'!$F$105)*('Achtergrond verbruiksprofielen'!$G$107-'Achtergrond verbruiksprofielen'!$F$107)/('Achtergrond verbruiksprofielen'!$G$105-'Achtergrond verbruiksprofielen'!$F$105)</f>
        <v>6.6369825489516893E-2</v>
      </c>
      <c r="V44" s="35">
        <f>'Achtergrond verbruiksprofielen'!$F$107+(V28-'Achtergrond verbruiksprofielen'!$F$105)*('Achtergrond verbruiksprofielen'!$G$107-'Achtergrond verbruiksprofielen'!$F$107)/('Achtergrond verbruiksprofielen'!$G$105-'Achtergrond verbruiksprofielen'!$F$105)</f>
        <v>6.750214896995535E-2</v>
      </c>
      <c r="W44" s="35">
        <f>'Achtergrond verbruiksprofielen'!$F$107+(W28-'Achtergrond verbruiksprofielen'!$F$105)*('Achtergrond verbruiksprofielen'!$G$107-'Achtergrond verbruiksprofielen'!$F$107)/('Achtergrond verbruiksprofielen'!$G$105-'Achtergrond verbruiksprofielen'!$F$105)</f>
        <v>6.8634472450393821E-2</v>
      </c>
      <c r="X44" s="35">
        <f>'Achtergrond verbruiksprofielen'!$F$107+(X28-'Achtergrond verbruiksprofielen'!$F$105)*('Achtergrond verbruiksprofielen'!$G$107-'Achtergrond verbruiksprofielen'!$F$107)/('Achtergrond verbruiksprofielen'!$G$105-'Achtergrond verbruiksprofielen'!$F$105)</f>
        <v>6.9766795930832279E-2</v>
      </c>
      <c r="Y44" s="35">
        <f>'Achtergrond verbruiksprofielen'!$G$107</f>
        <v>7.089911941127075E-2</v>
      </c>
      <c r="Z44" s="35">
        <f>'Achtergrond verbruiksprofielen'!$G$107+(Z28-'Achtergrond verbruiksprofielen'!$G$105)*('Achtergrond verbruiksprofielen'!$H$107-'Achtergrond verbruiksprofielen'!$G$107)/('Achtergrond verbruiksprofielen'!$H$105-'Achtergrond verbruiksprofielen'!$G$105)</f>
        <v>7.0663595504799614E-2</v>
      </c>
      <c r="AA44" s="35">
        <f>'Achtergrond verbruiksprofielen'!$G$107+(AA28-'Achtergrond verbruiksprofielen'!$G$105)*('Achtergrond verbruiksprofielen'!$H$107-'Achtergrond verbruiksprofielen'!$G$107)/('Achtergrond verbruiksprofielen'!$H$105-'Achtergrond verbruiksprofielen'!$G$105)</f>
        <v>7.0428071598328465E-2</v>
      </c>
      <c r="AB44" s="35">
        <f>'Achtergrond verbruiksprofielen'!$G$107+(AB28-'Achtergrond verbruiksprofielen'!$G$105)*('Achtergrond verbruiksprofielen'!$H$107-'Achtergrond verbruiksprofielen'!$G$107)/('Achtergrond verbruiksprofielen'!$H$105-'Achtergrond verbruiksprofielen'!$G$105)</f>
        <v>7.0192547691857329E-2</v>
      </c>
      <c r="AC44" s="35">
        <f>'Achtergrond verbruiksprofielen'!$G$107+(AC28-'Achtergrond verbruiksprofielen'!$G$105)*('Achtergrond verbruiksprofielen'!$H$107-'Achtergrond verbruiksprofielen'!$G$107)/('Achtergrond verbruiksprofielen'!$H$105-'Achtergrond verbruiksprofielen'!$G$105)</f>
        <v>6.995702378538618E-2</v>
      </c>
      <c r="AD44" s="35">
        <f>'Achtergrond verbruiksprofielen'!$H$107</f>
        <v>6.9721499878915044E-2</v>
      </c>
      <c r="AE44" s="35">
        <f>'Achtergrond verbruiksprofielen'!$H$107</f>
        <v>6.9721499878915044E-2</v>
      </c>
      <c r="AF44" s="35">
        <f>'Achtergrond verbruiksprofielen'!$H$107</f>
        <v>6.9721499878915044E-2</v>
      </c>
      <c r="AG44" s="35">
        <f>'Achtergrond verbruiksprofielen'!$H$107</f>
        <v>6.9721499878915044E-2</v>
      </c>
      <c r="AH44" s="35">
        <f>'Achtergrond verbruiksprofielen'!$H$107</f>
        <v>6.9721499878915044E-2</v>
      </c>
      <c r="AI44" s="60"/>
      <c r="AJ44" s="60"/>
      <c r="AK44" s="60"/>
    </row>
    <row r="45" spans="1:37" ht="15.6" x14ac:dyDescent="0.3">
      <c r="A45" s="11" t="s">
        <v>87</v>
      </c>
      <c r="B45" s="11"/>
      <c r="C45" s="33"/>
      <c r="D45" s="33" t="s">
        <v>88</v>
      </c>
      <c r="E45" s="361">
        <f>'Achtergrond verbruiksprofielen'!$C$108</f>
        <v>3040</v>
      </c>
      <c r="F45" s="361">
        <f>'Achtergrond verbruiksprofielen'!$C$108+(F28-'Achtergrond verbruiksprofielen'!$C$105)*('Achtergrond verbruiksprofielen'!$D$108-'Achtergrond verbruiksprofielen'!$C$108)/('Achtergrond verbruiksprofielen'!$D$105-'Achtergrond verbruiksprofielen'!$C$105)</f>
        <v>3040</v>
      </c>
      <c r="G45" s="361">
        <f>'Achtergrond verbruiksprofielen'!$C$108+(G28-'Achtergrond verbruiksprofielen'!$C$105)*('Achtergrond verbruiksprofielen'!$D$108-'Achtergrond verbruiksprofielen'!$C$108)/('Achtergrond verbruiksprofielen'!$D$105-'Achtergrond verbruiksprofielen'!$C$105)</f>
        <v>3040</v>
      </c>
      <c r="H45" s="361">
        <f>'Achtergrond verbruiksprofielen'!$C$108+(H28-'Achtergrond verbruiksprofielen'!$C$105)*('Achtergrond verbruiksprofielen'!$D$108-'Achtergrond verbruiksprofielen'!$C$108)/('Achtergrond verbruiksprofielen'!$D$105-'Achtergrond verbruiksprofielen'!$C$105)</f>
        <v>3040</v>
      </c>
      <c r="I45" s="361">
        <f>'Achtergrond verbruiksprofielen'!$C$108+(I28-'Achtergrond verbruiksprofielen'!$C$105)*('Achtergrond verbruiksprofielen'!$D$108-'Achtergrond verbruiksprofielen'!$C$108)/('Achtergrond verbruiksprofielen'!$D$105-'Achtergrond verbruiksprofielen'!$C$105)</f>
        <v>3040</v>
      </c>
      <c r="J45" s="361">
        <f>'Achtergrond verbruiksprofielen'!$D$108</f>
        <v>3040</v>
      </c>
      <c r="K45" s="361">
        <f>'Achtergrond verbruiksprofielen'!$D$108+(K28-'Achtergrond verbruiksprofielen'!$D$105)*('Achtergrond verbruiksprofielen'!$E$108-'Achtergrond verbruiksprofielen'!$D$108)/('Achtergrond verbruiksprofielen'!$E$105-'Achtergrond verbruiksprofielen'!$D$105)</f>
        <v>3040</v>
      </c>
      <c r="L45" s="361">
        <f>'Achtergrond verbruiksprofielen'!$D$108+(L28-'Achtergrond verbruiksprofielen'!$D$105)*('Achtergrond verbruiksprofielen'!$E$108-'Achtergrond verbruiksprofielen'!$D$108)/('Achtergrond verbruiksprofielen'!$E$105-'Achtergrond verbruiksprofielen'!$D$105)</f>
        <v>3040</v>
      </c>
      <c r="M45" s="361">
        <f>'Achtergrond verbruiksprofielen'!$D$108+(M28-'Achtergrond verbruiksprofielen'!$D$105)*('Achtergrond verbruiksprofielen'!$E$108-'Achtergrond verbruiksprofielen'!$D$108)/('Achtergrond verbruiksprofielen'!$E$105-'Achtergrond verbruiksprofielen'!$D$105)</f>
        <v>3040</v>
      </c>
      <c r="N45" s="361">
        <f>'Achtergrond verbruiksprofielen'!$D$108+(N28-'Achtergrond verbruiksprofielen'!$D$105)*('Achtergrond verbruiksprofielen'!$E$108-'Achtergrond verbruiksprofielen'!$D$108)/('Achtergrond verbruiksprofielen'!$E$105-'Achtergrond verbruiksprofielen'!$D$105)</f>
        <v>3040</v>
      </c>
      <c r="O45" s="361">
        <f>'Achtergrond verbruiksprofielen'!$E$108</f>
        <v>3040</v>
      </c>
      <c r="P45" s="361">
        <f>'Achtergrond verbruiksprofielen'!$E$108+(P28-'Achtergrond verbruiksprofielen'!$E$105)*('Achtergrond verbruiksprofielen'!$F$108-'Achtergrond verbruiksprofielen'!$E$108)/('Achtergrond verbruiksprofielen'!$F$105-'Achtergrond verbruiksprofielen'!$E$105)</f>
        <v>3040</v>
      </c>
      <c r="Q45" s="361">
        <f>'Achtergrond verbruiksprofielen'!$E$108+(Q28-'Achtergrond verbruiksprofielen'!$E$105)*('Achtergrond verbruiksprofielen'!$F$108-'Achtergrond verbruiksprofielen'!$E$108)/('Achtergrond verbruiksprofielen'!$F$105-'Achtergrond verbruiksprofielen'!$E$105)</f>
        <v>3040</v>
      </c>
      <c r="R45" s="361">
        <f>'Achtergrond verbruiksprofielen'!$E$108+(R28-'Achtergrond verbruiksprofielen'!$E$105)*('Achtergrond verbruiksprofielen'!$F$108-'Achtergrond verbruiksprofielen'!$E$108)/('Achtergrond verbruiksprofielen'!$F$105-'Achtergrond verbruiksprofielen'!$E$105)</f>
        <v>3040</v>
      </c>
      <c r="S45" s="361">
        <f>'Achtergrond verbruiksprofielen'!$E$108+(S28-'Achtergrond verbruiksprofielen'!$E$105)*('Achtergrond verbruiksprofielen'!$F$108-'Achtergrond verbruiksprofielen'!$E$108)/('Achtergrond verbruiksprofielen'!$F$105-'Achtergrond verbruiksprofielen'!$E$105)</f>
        <v>3040</v>
      </c>
      <c r="T45" s="361">
        <f>'Achtergrond verbruiksprofielen'!$F$108</f>
        <v>3040</v>
      </c>
      <c r="U45" s="361">
        <f>'Achtergrond verbruiksprofielen'!$F$108+(U28-'Achtergrond verbruiksprofielen'!$F$105)*('Achtergrond verbruiksprofielen'!$G$108-'Achtergrond verbruiksprofielen'!$F$108)/('Achtergrond verbruiksprofielen'!$G$105-'Achtergrond verbruiksprofielen'!$F$105)</f>
        <v>3040</v>
      </c>
      <c r="V45" s="361">
        <f>'Achtergrond verbruiksprofielen'!$F$108+(V28-'Achtergrond verbruiksprofielen'!$F$105)*('Achtergrond verbruiksprofielen'!$G$108-'Achtergrond verbruiksprofielen'!$F$108)/('Achtergrond verbruiksprofielen'!$G$105-'Achtergrond verbruiksprofielen'!$F$105)</f>
        <v>3040</v>
      </c>
      <c r="W45" s="361">
        <f>'Achtergrond verbruiksprofielen'!$F$108+(W28-'Achtergrond verbruiksprofielen'!$F$105)*('Achtergrond verbruiksprofielen'!$G$108-'Achtergrond verbruiksprofielen'!$F$108)/('Achtergrond verbruiksprofielen'!$G$105-'Achtergrond verbruiksprofielen'!$F$105)</f>
        <v>3040</v>
      </c>
      <c r="X45" s="361">
        <f>'Achtergrond verbruiksprofielen'!$F$108+(X28-'Achtergrond verbruiksprofielen'!$F$105)*('Achtergrond verbruiksprofielen'!$G$108-'Achtergrond verbruiksprofielen'!$F$108)/('Achtergrond verbruiksprofielen'!$G$105-'Achtergrond verbruiksprofielen'!$F$105)</f>
        <v>3040</v>
      </c>
      <c r="Y45" s="361">
        <f>'Achtergrond verbruiksprofielen'!$G$108</f>
        <v>3040</v>
      </c>
      <c r="Z45" s="361">
        <f>'Achtergrond verbruiksprofielen'!$G$108+(Z28-'Achtergrond verbruiksprofielen'!$G$105)*('Achtergrond verbruiksprofielen'!$H$108-'Achtergrond verbruiksprofielen'!$G$108)/('Achtergrond verbruiksprofielen'!$H$105-'Achtergrond verbruiksprofielen'!$G$105)</f>
        <v>3040</v>
      </c>
      <c r="AA45" s="361">
        <f>'Achtergrond verbruiksprofielen'!$G$108+(AA28-'Achtergrond verbruiksprofielen'!$G$105)*('Achtergrond verbruiksprofielen'!$H$108-'Achtergrond verbruiksprofielen'!$G$108)/('Achtergrond verbruiksprofielen'!$H$105-'Achtergrond verbruiksprofielen'!$G$105)</f>
        <v>3040</v>
      </c>
      <c r="AB45" s="361">
        <f>'Achtergrond verbruiksprofielen'!$G$108+(AB28-'Achtergrond verbruiksprofielen'!$G$105)*('Achtergrond verbruiksprofielen'!$H$108-'Achtergrond verbruiksprofielen'!$G$108)/('Achtergrond verbruiksprofielen'!$H$105-'Achtergrond verbruiksprofielen'!$G$105)</f>
        <v>3040</v>
      </c>
      <c r="AC45" s="361">
        <f>'Achtergrond verbruiksprofielen'!$G$108+(AC28-'Achtergrond verbruiksprofielen'!$G$105)*('Achtergrond verbruiksprofielen'!$H$108-'Achtergrond verbruiksprofielen'!$G$108)/('Achtergrond verbruiksprofielen'!$H$105-'Achtergrond verbruiksprofielen'!$G$105)</f>
        <v>3040</v>
      </c>
      <c r="AD45" s="361">
        <f>'Achtergrond verbruiksprofielen'!$H$108</f>
        <v>3040</v>
      </c>
      <c r="AE45" s="361">
        <f>'Achtergrond verbruiksprofielen'!$H$108</f>
        <v>3040</v>
      </c>
      <c r="AF45" s="361">
        <f>'Achtergrond verbruiksprofielen'!$H$108</f>
        <v>3040</v>
      </c>
      <c r="AG45" s="361">
        <f>'Achtergrond verbruiksprofielen'!$H$108</f>
        <v>3040</v>
      </c>
      <c r="AH45" s="361">
        <f>'Achtergrond verbruiksprofielen'!$H$108</f>
        <v>3040</v>
      </c>
      <c r="AI45" s="60"/>
      <c r="AJ45" s="60"/>
      <c r="AK45" s="60"/>
    </row>
    <row r="46" spans="1:37" x14ac:dyDescent="0.3">
      <c r="A46" s="60"/>
      <c r="B46" s="60"/>
      <c r="C46" s="60"/>
      <c r="D46" s="60"/>
      <c r="E46" s="341"/>
      <c r="F46" s="341"/>
      <c r="G46" s="341"/>
      <c r="H46" s="341"/>
      <c r="I46" s="341"/>
      <c r="J46" s="341"/>
      <c r="K46" s="341"/>
      <c r="L46" s="341"/>
      <c r="M46" s="341"/>
      <c r="N46" s="341"/>
      <c r="O46" s="341"/>
      <c r="P46" s="341"/>
      <c r="Q46" s="341"/>
      <c r="R46" s="341"/>
      <c r="S46" s="341"/>
      <c r="T46" s="341"/>
      <c r="U46" s="341"/>
      <c r="V46" s="341"/>
      <c r="W46" s="341"/>
      <c r="X46" s="341"/>
      <c r="Y46" s="341"/>
      <c r="Z46" s="341"/>
      <c r="AA46" s="341"/>
      <c r="AB46" s="341"/>
      <c r="AC46" s="341"/>
      <c r="AD46" s="341"/>
      <c r="AE46" s="341"/>
      <c r="AF46" s="341"/>
      <c r="AG46" s="341"/>
      <c r="AH46" s="341"/>
      <c r="AI46" s="60"/>
      <c r="AJ46" s="60"/>
      <c r="AK46" s="60"/>
    </row>
    <row r="47" spans="1:37" ht="15" thickBot="1" x14ac:dyDescent="0.35">
      <c r="A47" s="222"/>
      <c r="B47" s="222"/>
      <c r="C47" s="222"/>
      <c r="D47" s="222"/>
      <c r="E47" s="342"/>
      <c r="F47" s="342"/>
      <c r="G47" s="342"/>
      <c r="H47" s="342"/>
      <c r="I47" s="342"/>
      <c r="J47" s="342"/>
      <c r="K47" s="342"/>
      <c r="L47" s="342"/>
      <c r="M47" s="342"/>
      <c r="N47" s="342"/>
      <c r="O47" s="342"/>
      <c r="P47" s="342"/>
      <c r="Q47" s="342"/>
      <c r="R47" s="342"/>
      <c r="S47" s="342"/>
      <c r="T47" s="342"/>
      <c r="U47" s="342"/>
      <c r="V47" s="342"/>
      <c r="W47" s="342"/>
      <c r="X47" s="342"/>
      <c r="Y47" s="342"/>
      <c r="Z47" s="342"/>
      <c r="AA47" s="342"/>
      <c r="AB47" s="342"/>
      <c r="AC47" s="342"/>
      <c r="AD47" s="342"/>
      <c r="AE47" s="342"/>
      <c r="AF47" s="342"/>
      <c r="AG47" s="342"/>
      <c r="AH47" s="342"/>
      <c r="AI47" s="222"/>
      <c r="AJ47" s="60"/>
      <c r="AK47" s="60"/>
    </row>
    <row r="48" spans="1:37" x14ac:dyDescent="0.3">
      <c r="A48" s="60"/>
      <c r="B48" s="60"/>
      <c r="C48" s="60"/>
      <c r="D48" s="60"/>
      <c r="E48" s="341"/>
      <c r="F48" s="341"/>
      <c r="G48" s="341"/>
      <c r="H48" s="341"/>
      <c r="I48" s="341"/>
      <c r="J48" s="341"/>
      <c r="K48" s="341"/>
      <c r="L48" s="341"/>
      <c r="M48" s="341"/>
      <c r="N48" s="341"/>
      <c r="O48" s="341"/>
      <c r="P48" s="341"/>
      <c r="Q48" s="341"/>
      <c r="R48" s="341"/>
      <c r="S48" s="341"/>
      <c r="T48" s="341"/>
      <c r="U48" s="341"/>
      <c r="V48" s="341"/>
      <c r="W48" s="341"/>
      <c r="X48" s="341"/>
      <c r="Y48" s="341"/>
      <c r="Z48" s="341"/>
      <c r="AA48" s="341"/>
      <c r="AB48" s="341"/>
      <c r="AC48" s="341"/>
      <c r="AD48" s="341"/>
      <c r="AE48" s="341"/>
      <c r="AF48" s="341"/>
      <c r="AG48" s="341"/>
      <c r="AH48" s="341"/>
      <c r="AI48" s="60"/>
      <c r="AJ48" s="60"/>
      <c r="AK48" s="60"/>
    </row>
    <row r="49" spans="1:37" ht="21" x14ac:dyDescent="0.4">
      <c r="A49" s="221" t="str">
        <f>'Dropdown lists'!H5</f>
        <v>FULL FLEX DAILY</v>
      </c>
      <c r="B49" s="11"/>
      <c r="C49" s="11"/>
      <c r="D49" s="11"/>
      <c r="E49" s="341"/>
      <c r="F49" s="341"/>
      <c r="G49" s="341"/>
      <c r="H49" s="341"/>
      <c r="I49" s="341"/>
      <c r="J49" s="341"/>
      <c r="K49" s="341"/>
      <c r="L49" s="341"/>
      <c r="M49" s="341"/>
      <c r="N49" s="341"/>
      <c r="O49" s="341"/>
      <c r="P49" s="341"/>
      <c r="Q49" s="341"/>
      <c r="R49" s="341"/>
      <c r="S49" s="341"/>
      <c r="T49" s="341"/>
      <c r="U49" s="341"/>
      <c r="V49" s="341"/>
      <c r="W49" s="341"/>
      <c r="X49" s="341"/>
      <c r="Y49" s="341"/>
      <c r="Z49" s="341"/>
      <c r="AA49" s="341"/>
      <c r="AB49" s="341"/>
      <c r="AC49" s="341"/>
      <c r="AD49" s="341"/>
      <c r="AE49" s="341"/>
      <c r="AF49" s="341"/>
      <c r="AG49" s="341"/>
      <c r="AH49" s="341"/>
      <c r="AI49" s="60"/>
      <c r="AJ49" s="60"/>
      <c r="AK49" s="60"/>
    </row>
    <row r="50" spans="1:37" ht="15.6" x14ac:dyDescent="0.3">
      <c r="A50" s="11"/>
      <c r="B50" s="11"/>
      <c r="C50" s="11"/>
      <c r="D50" s="11"/>
      <c r="E50" s="341">
        <v>2025</v>
      </c>
      <c r="F50" s="341">
        <v>2026</v>
      </c>
      <c r="G50" s="341">
        <v>2027</v>
      </c>
      <c r="H50" s="341">
        <v>2028</v>
      </c>
      <c r="I50" s="341">
        <v>2029</v>
      </c>
      <c r="J50" s="341">
        <v>2030</v>
      </c>
      <c r="K50" s="341">
        <v>2031</v>
      </c>
      <c r="L50" s="341">
        <v>2032</v>
      </c>
      <c r="M50" s="341">
        <v>2033</v>
      </c>
      <c r="N50" s="341">
        <v>2034</v>
      </c>
      <c r="O50" s="341">
        <v>2035</v>
      </c>
      <c r="P50" s="341">
        <v>2036</v>
      </c>
      <c r="Q50" s="341">
        <v>2037</v>
      </c>
      <c r="R50" s="341">
        <v>2038</v>
      </c>
      <c r="S50" s="341">
        <v>2039</v>
      </c>
      <c r="T50" s="341">
        <v>2040</v>
      </c>
      <c r="U50" s="341">
        <v>2041</v>
      </c>
      <c r="V50" s="341">
        <v>2042</v>
      </c>
      <c r="W50" s="341">
        <v>2043</v>
      </c>
      <c r="X50" s="341">
        <v>2044</v>
      </c>
      <c r="Y50" s="341">
        <v>2045</v>
      </c>
      <c r="Z50" s="341">
        <v>2046</v>
      </c>
      <c r="AA50" s="341">
        <v>2047</v>
      </c>
      <c r="AB50" s="341">
        <v>2048</v>
      </c>
      <c r="AC50" s="341">
        <v>2049</v>
      </c>
      <c r="AD50" s="341">
        <v>2050</v>
      </c>
      <c r="AE50" s="341">
        <v>2051</v>
      </c>
      <c r="AF50" s="341">
        <v>2052</v>
      </c>
      <c r="AG50" s="341">
        <v>2053</v>
      </c>
      <c r="AH50" s="341">
        <v>2054</v>
      </c>
      <c r="AI50" s="60"/>
      <c r="AJ50" s="60"/>
      <c r="AK50" s="60"/>
    </row>
    <row r="51" spans="1:37" ht="15.6" x14ac:dyDescent="0.3">
      <c r="A51" s="66" t="s">
        <v>80</v>
      </c>
      <c r="B51" s="11"/>
      <c r="C51" s="58"/>
      <c r="D51" s="58" t="s">
        <v>81</v>
      </c>
      <c r="E51" s="58">
        <v>1</v>
      </c>
      <c r="F51" s="58">
        <v>2</v>
      </c>
      <c r="G51" s="58">
        <v>3</v>
      </c>
      <c r="H51" s="58">
        <v>4</v>
      </c>
      <c r="I51" s="58">
        <v>5</v>
      </c>
      <c r="J51" s="58">
        <v>6</v>
      </c>
      <c r="K51" s="58">
        <v>7</v>
      </c>
      <c r="L51" s="58">
        <v>8</v>
      </c>
      <c r="M51" s="58">
        <v>9</v>
      </c>
      <c r="N51" s="58">
        <v>10</v>
      </c>
      <c r="O51" s="58">
        <v>11</v>
      </c>
      <c r="P51" s="58">
        <v>12</v>
      </c>
      <c r="Q51" s="58">
        <v>13</v>
      </c>
      <c r="R51" s="58">
        <v>14</v>
      </c>
      <c r="S51" s="58">
        <v>15</v>
      </c>
      <c r="T51" s="58">
        <v>16</v>
      </c>
      <c r="U51" s="58">
        <v>17</v>
      </c>
      <c r="V51" s="58">
        <v>18</v>
      </c>
      <c r="W51" s="58">
        <v>19</v>
      </c>
      <c r="X51" s="58">
        <v>20</v>
      </c>
      <c r="Y51" s="58">
        <v>21</v>
      </c>
      <c r="Z51" s="58">
        <v>22</v>
      </c>
      <c r="AA51" s="58">
        <v>23</v>
      </c>
      <c r="AB51" s="58">
        <v>24</v>
      </c>
      <c r="AC51" s="58">
        <v>25</v>
      </c>
      <c r="AD51" s="58">
        <v>26</v>
      </c>
      <c r="AE51" s="58">
        <v>27</v>
      </c>
      <c r="AF51" s="58">
        <v>28</v>
      </c>
      <c r="AG51" s="58">
        <v>29</v>
      </c>
      <c r="AH51" s="58">
        <v>30</v>
      </c>
      <c r="AI51" s="60"/>
      <c r="AJ51" s="60"/>
      <c r="AK51" s="60"/>
    </row>
    <row r="52" spans="1:37" ht="18" x14ac:dyDescent="0.3">
      <c r="A52" s="11" t="s">
        <v>82</v>
      </c>
      <c r="B52" s="11"/>
      <c r="C52" s="33"/>
      <c r="D52" s="33" t="s">
        <v>90</v>
      </c>
      <c r="E52" s="50">
        <f>'Achtergrond verbruiksprofielen'!$C$94</f>
        <v>3.2000000000000001E-2</v>
      </c>
      <c r="F52" s="50">
        <f>'Achtergrond verbruiksprofielen'!$C$94</f>
        <v>3.2000000000000001E-2</v>
      </c>
      <c r="G52" s="50">
        <f>'Achtergrond verbruiksprofielen'!$C$94</f>
        <v>3.2000000000000001E-2</v>
      </c>
      <c r="H52" s="50">
        <f>'Achtergrond verbruiksprofielen'!$C$94</f>
        <v>3.2000000000000001E-2</v>
      </c>
      <c r="I52" s="50">
        <f>'Achtergrond verbruiksprofielen'!$C$94</f>
        <v>3.2000000000000001E-2</v>
      </c>
      <c r="J52" s="50">
        <f>'Achtergrond verbruiksprofielen'!$C$94</f>
        <v>3.2000000000000001E-2</v>
      </c>
      <c r="K52" s="50">
        <f>'Achtergrond verbruiksprofielen'!$C$94</f>
        <v>3.2000000000000001E-2</v>
      </c>
      <c r="L52" s="50">
        <f>'Achtergrond verbruiksprofielen'!$C$94</f>
        <v>3.2000000000000001E-2</v>
      </c>
      <c r="M52" s="50">
        <f>'Achtergrond verbruiksprofielen'!$C$94</f>
        <v>3.2000000000000001E-2</v>
      </c>
      <c r="N52" s="50">
        <f>'Achtergrond verbruiksprofielen'!$C$94</f>
        <v>3.2000000000000001E-2</v>
      </c>
      <c r="O52" s="50">
        <f>'Achtergrond verbruiksprofielen'!$C$94</f>
        <v>3.2000000000000001E-2</v>
      </c>
      <c r="P52" s="50">
        <f>'Achtergrond verbruiksprofielen'!$C$94</f>
        <v>3.2000000000000001E-2</v>
      </c>
      <c r="Q52" s="50">
        <f>'Achtergrond verbruiksprofielen'!$C$94</f>
        <v>3.2000000000000001E-2</v>
      </c>
      <c r="R52" s="50">
        <f>'Achtergrond verbruiksprofielen'!$C$94</f>
        <v>3.2000000000000001E-2</v>
      </c>
      <c r="S52" s="50">
        <f>'Achtergrond verbruiksprofielen'!$C$94</f>
        <v>3.2000000000000001E-2</v>
      </c>
      <c r="T52" s="50">
        <f>'Achtergrond verbruiksprofielen'!$C$94</f>
        <v>3.2000000000000001E-2</v>
      </c>
      <c r="U52" s="50">
        <f>'Achtergrond verbruiksprofielen'!$C$94</f>
        <v>3.2000000000000001E-2</v>
      </c>
      <c r="V52" s="50">
        <f>'Achtergrond verbruiksprofielen'!$C$94</f>
        <v>3.2000000000000001E-2</v>
      </c>
      <c r="W52" s="50">
        <f>'Achtergrond verbruiksprofielen'!$C$94</f>
        <v>3.2000000000000001E-2</v>
      </c>
      <c r="X52" s="50">
        <f>'Achtergrond verbruiksprofielen'!$C$94</f>
        <v>3.2000000000000001E-2</v>
      </c>
      <c r="Y52" s="50">
        <f>'Achtergrond verbruiksprofielen'!$C$94</f>
        <v>3.2000000000000001E-2</v>
      </c>
      <c r="Z52" s="50">
        <f>'Achtergrond verbruiksprofielen'!$C$94</f>
        <v>3.2000000000000001E-2</v>
      </c>
      <c r="AA52" s="50">
        <f>'Achtergrond verbruiksprofielen'!$C$94</f>
        <v>3.2000000000000001E-2</v>
      </c>
      <c r="AB52" s="50">
        <f>'Achtergrond verbruiksprofielen'!$C$94</f>
        <v>3.2000000000000001E-2</v>
      </c>
      <c r="AC52" s="50">
        <f>'Achtergrond verbruiksprofielen'!$C$94</f>
        <v>3.2000000000000001E-2</v>
      </c>
      <c r="AD52" s="50">
        <f>'Achtergrond verbruiksprofielen'!$C$94</f>
        <v>3.2000000000000001E-2</v>
      </c>
      <c r="AE52" s="50">
        <f>'Achtergrond verbruiksprofielen'!$C$94</f>
        <v>3.2000000000000001E-2</v>
      </c>
      <c r="AF52" s="50">
        <f>'Achtergrond verbruiksprofielen'!$C$94</f>
        <v>3.2000000000000001E-2</v>
      </c>
      <c r="AG52" s="50">
        <f>'Achtergrond verbruiksprofielen'!$C$94</f>
        <v>3.2000000000000001E-2</v>
      </c>
      <c r="AH52" s="50">
        <f>'Achtergrond verbruiksprofielen'!$C$94</f>
        <v>3.2000000000000001E-2</v>
      </c>
      <c r="AI52" s="60"/>
      <c r="AJ52" s="60"/>
      <c r="AK52" s="60"/>
    </row>
    <row r="53" spans="1:37" ht="18" x14ac:dyDescent="0.4">
      <c r="A53" s="11" t="s">
        <v>178</v>
      </c>
      <c r="B53" s="11"/>
      <c r="C53" s="33"/>
      <c r="D53" s="223" t="s">
        <v>167</v>
      </c>
      <c r="E53" s="35">
        <v>0</v>
      </c>
      <c r="F53" s="35">
        <v>0</v>
      </c>
      <c r="G53" s="35">
        <v>0</v>
      </c>
      <c r="H53" s="35">
        <f>_xlfn.FORECAST.LINEAR(H$6,'Achtergrond verbruiksprofielen'!$C$10:$D$10,'Achtergrond verbruiksprofielen'!$C$8:$D$8)</f>
        <v>1.3999999999999346E-2</v>
      </c>
      <c r="I53" s="35">
        <f>_xlfn.FORECAST.LINEAR(I$6,'Achtergrond verbruiksprofielen'!$C$10:$D$10,'Achtergrond verbruiksprofielen'!$C$8:$D$8)</f>
        <v>1.7833333333332924E-2</v>
      </c>
      <c r="J53" s="35">
        <f>_xlfn.FORECAST.LINEAR(J$6,'Achtergrond verbruiksprofielen'!$C$10:$D$10,'Achtergrond verbruiksprofielen'!$C$8:$D$8)</f>
        <v>2.1666666666666501E-2</v>
      </c>
      <c r="K53" s="35">
        <f>_xlfn.FORECAST.LINEAR(K$6,'Achtergrond verbruiksprofielen'!$C$10:$D$10,'Achtergrond verbruiksprofielen'!$C$8:$D$8)</f>
        <v>2.5500000000000078E-2</v>
      </c>
      <c r="L53" s="35">
        <f>_xlfn.FORECAST.LINEAR(L$6,'Achtergrond verbruiksprofielen'!$C$10:$D$10,'Achtergrond verbruiksprofielen'!$C$8:$D$8)</f>
        <v>2.9333333333332767E-2</v>
      </c>
      <c r="M53" s="35">
        <f>_xlfn.FORECAST.LINEAR(M$6,'Achtergrond verbruiksprofielen'!$C$10:$D$10,'Achtergrond verbruiksprofielen'!$C$8:$D$8)</f>
        <v>3.3166666666666345E-2</v>
      </c>
      <c r="N53" s="35">
        <f>_xlfn.FORECAST.LINEAR(N$6,'Achtergrond verbruiksprofielen'!$C$10:$D$10,'Achtergrond verbruiksprofielen'!$C$8:$D$8)</f>
        <v>3.6999999999999922E-2</v>
      </c>
      <c r="O53" s="35">
        <f>_xlfn.FORECAST.LINEAR(O$6,'Achtergrond verbruiksprofielen'!$C$10:$D$10,'Achtergrond verbruiksprofielen'!$C$8:$D$8)</f>
        <v>4.0833333333333499E-2</v>
      </c>
      <c r="P53" s="35">
        <f>_xlfn.FORECAST.LINEAR(P$6,'Achtergrond verbruiksprofielen'!$C$10:$D$10,'Achtergrond verbruiksprofielen'!$C$8:$D$8)</f>
        <v>4.4666666666666188E-2</v>
      </c>
      <c r="Q53" s="35">
        <f>_xlfn.FORECAST.LINEAR(Q$6,'Achtergrond verbruiksprofielen'!$C$10:$D$10,'Achtergrond verbruiksprofielen'!$C$8:$D$8)</f>
        <v>4.8499999999999766E-2</v>
      </c>
      <c r="R53" s="35">
        <f>_xlfn.FORECAST.LINEAR(R$6,'Achtergrond verbruiksprofielen'!$C$10:$D$10,'Achtergrond verbruiksprofielen'!$C$8:$D$8)</f>
        <v>5.2333333333333343E-2</v>
      </c>
      <c r="S53" s="35">
        <f>_xlfn.FORECAST.LINEAR(S$6,'Achtergrond verbruiksprofielen'!$C$10:$D$10,'Achtergrond verbruiksprofielen'!$C$8:$D$8)</f>
        <v>5.6166666666666032E-2</v>
      </c>
      <c r="T53" s="35">
        <f>_xlfn.FORECAST.LINEAR(T$6,'Achtergrond verbruiksprofielen'!$C$10:$D$10,'Achtergrond verbruiksprofielen'!$C$8:$D$8)</f>
        <v>5.9999999999999609E-2</v>
      </c>
      <c r="U53" s="35">
        <f>_xlfn.FORECAST.LINEAR(U$6,'Achtergrond verbruiksprofielen'!$C$10:$D$10,'Achtergrond verbruiksprofielen'!$C$8:$D$8)</f>
        <v>6.3833333333333186E-2</v>
      </c>
      <c r="V53" s="35">
        <f>_xlfn.FORECAST.LINEAR(V$6,'Achtergrond verbruiksprofielen'!$C$10:$D$10,'Achtergrond verbruiksprofielen'!$C$8:$D$8)</f>
        <v>6.7666666666666764E-2</v>
      </c>
      <c r="W53" s="35">
        <f>_xlfn.FORECAST.LINEAR(W$6,'Achtergrond verbruiksprofielen'!$C$10:$D$10,'Achtergrond verbruiksprofielen'!$C$8:$D$8)</f>
        <v>7.1499999999999453E-2</v>
      </c>
      <c r="X53" s="35">
        <f>_xlfn.FORECAST.LINEAR(X$6,'Achtergrond verbruiksprofielen'!$C$10:$D$10,'Achtergrond verbruiksprofielen'!$C$8:$D$8)</f>
        <v>7.533333333333303E-2</v>
      </c>
      <c r="Y53" s="35">
        <f>_xlfn.FORECAST.LINEAR(Y$6,'Achtergrond verbruiksprofielen'!$C$10:$D$10,'Achtergrond verbruiksprofielen'!$C$8:$D$8)</f>
        <v>7.9166666666666607E-2</v>
      </c>
      <c r="Z53" s="35">
        <f>_xlfn.FORECAST.LINEAR(Z$6,'Achtergrond verbruiksprofielen'!$C$10:$D$10,'Achtergrond verbruiksprofielen'!$C$8:$D$8)</f>
        <v>8.3000000000000185E-2</v>
      </c>
      <c r="AA53" s="35">
        <f>_xlfn.FORECAST.LINEAR(AA$6,'Achtergrond verbruiksprofielen'!$C$10:$D$10,'Achtergrond verbruiksprofielen'!$C$8:$D$8)</f>
        <v>8.6833333333332874E-2</v>
      </c>
      <c r="AB53" s="35">
        <f>_xlfn.FORECAST.LINEAR(AB$6,'Achtergrond verbruiksprofielen'!$C$10:$D$10,'Achtergrond verbruiksprofielen'!$C$8:$D$8)</f>
        <v>9.0666666666666451E-2</v>
      </c>
      <c r="AC53" s="35">
        <f>_xlfn.FORECAST.LINEAR(AC$6,'Achtergrond verbruiksprofielen'!$C$10:$D$10,'Achtergrond verbruiksprofielen'!$C$8:$D$8)</f>
        <v>9.4500000000000028E-2</v>
      </c>
      <c r="AD53" s="35">
        <f>'Achtergrond verbruiksprofielen'!$D$10</f>
        <v>0.06</v>
      </c>
      <c r="AE53" s="35">
        <f>'Achtergrond verbruiksprofielen'!$D$10</f>
        <v>0.06</v>
      </c>
      <c r="AF53" s="35">
        <f>'Achtergrond verbruiksprofielen'!$D$10</f>
        <v>0.06</v>
      </c>
      <c r="AG53" s="35">
        <f>'Achtergrond verbruiksprofielen'!$D$10</f>
        <v>0.06</v>
      </c>
      <c r="AH53" s="35">
        <f>'Achtergrond verbruiksprofielen'!$D$10</f>
        <v>0.06</v>
      </c>
      <c r="AI53" s="60"/>
      <c r="AJ53" s="60"/>
      <c r="AK53" s="60"/>
    </row>
    <row r="54" spans="1:37" ht="18" x14ac:dyDescent="0.3">
      <c r="A54" s="11" t="s">
        <v>86</v>
      </c>
      <c r="B54" s="11"/>
      <c r="C54" s="33"/>
      <c r="D54" s="33" t="s">
        <v>62</v>
      </c>
      <c r="E54" s="35">
        <f>'Achtergrond verbruiksprofielen'!$C$24</f>
        <v>7.0625206743480315E-2</v>
      </c>
      <c r="F54" s="35">
        <f>'Achtergrond verbruiksprofielen'!$C$24+(F50-'Achtergrond verbruiksprofielen'!$C$22)*('Achtergrond verbruiksprofielen'!$D$24-'Achtergrond verbruiksprofielen'!$C$24)/('Achtergrond verbruiksprofielen'!$D$22-'Achtergrond verbruiksprofielen'!$C$22)</f>
        <v>7.5207492472545892E-2</v>
      </c>
      <c r="G54" s="35">
        <f>'Achtergrond verbruiksprofielen'!$C$24+(G50-'Achtergrond verbruiksprofielen'!$C$22)*('Achtergrond verbruiksprofielen'!$D$24-'Achtergrond verbruiksprofielen'!$C$24)/('Achtergrond verbruiksprofielen'!$D$22-'Achtergrond verbruiksprofielen'!$C$22)</f>
        <v>7.9789778201611469E-2</v>
      </c>
      <c r="H54" s="35">
        <f>'Achtergrond verbruiksprofielen'!$C$24+(H50-'Achtergrond verbruiksprofielen'!$C$22)*('Achtergrond verbruiksprofielen'!$D$24-'Achtergrond verbruiksprofielen'!$C$24)/('Achtergrond verbruiksprofielen'!$D$22-'Achtergrond verbruiksprofielen'!$C$22)</f>
        <v>8.4372063930677033E-2</v>
      </c>
      <c r="I54" s="35">
        <f>'Achtergrond verbruiksprofielen'!$C$24+(I50-'Achtergrond verbruiksprofielen'!$C$22)*('Achtergrond verbruiksprofielen'!$D$24-'Achtergrond verbruiksprofielen'!$C$24)/('Achtergrond verbruiksprofielen'!$D$22-'Achtergrond verbruiksprofielen'!$C$22)</f>
        <v>8.895434965974261E-2</v>
      </c>
      <c r="J54" s="35">
        <f>'Achtergrond verbruiksprofielen'!$D$24</f>
        <v>9.3536635388808187E-2</v>
      </c>
      <c r="K54" s="35">
        <f>'Achtergrond verbruiksprofielen'!$D$24+(K50-'Achtergrond verbruiksprofielen'!$D$22)*('Achtergrond verbruiksprofielen'!$E$24-'Achtergrond verbruiksprofielen'!$D$24)/('Achtergrond verbruiksprofielen'!$E$22-'Achtergrond verbruiksprofielen'!$D$22)</f>
        <v>9.345965579722304E-2</v>
      </c>
      <c r="L54" s="35">
        <f>'Achtergrond verbruiksprofielen'!$D$24+(L50-'Achtergrond verbruiksprofielen'!$D$22)*('Achtergrond verbruiksprofielen'!$E$24-'Achtergrond verbruiksprofielen'!$D$24)/('Achtergrond verbruiksprofielen'!$E$22-'Achtergrond verbruiksprofielen'!$D$22)</f>
        <v>9.3382676205637893E-2</v>
      </c>
      <c r="M54" s="35">
        <f>'Achtergrond verbruiksprofielen'!$D$24+(M50-'Achtergrond verbruiksprofielen'!$D$22)*('Achtergrond verbruiksprofielen'!$E$24-'Achtergrond verbruiksprofielen'!$D$24)/('Achtergrond verbruiksprofielen'!$E$22-'Achtergrond verbruiksprofielen'!$D$22)</f>
        <v>9.330569661405276E-2</v>
      </c>
      <c r="N54" s="35">
        <f>'Achtergrond verbruiksprofielen'!$D$24+(N50-'Achtergrond verbruiksprofielen'!$D$22)*('Achtergrond verbruiksprofielen'!$E$24-'Achtergrond verbruiksprofielen'!$D$24)/('Achtergrond verbruiksprofielen'!$E$22-'Achtergrond verbruiksprofielen'!$D$22)</f>
        <v>9.3228717022467614E-2</v>
      </c>
      <c r="O54" s="35">
        <f>'Achtergrond verbruiksprofielen'!$E$24</f>
        <v>9.3151737430882467E-2</v>
      </c>
      <c r="P54" s="35">
        <f>'Achtergrond verbruiksprofielen'!$E$24+(P50-'Achtergrond verbruiksprofielen'!$E$22)*('Achtergrond verbruiksprofielen'!$F$24-'Achtergrond verbruiksprofielen'!$E$24)/('Achtergrond verbruiksprofielen'!$F$22-'Achtergrond verbruiksprofielen'!$E$22)</f>
        <v>9.0943417850959787E-2</v>
      </c>
      <c r="Q54" s="35">
        <f>'Achtergrond verbruiksprofielen'!$E$24+(Q50-'Achtergrond verbruiksprofielen'!$E$22)*('Achtergrond verbruiksprofielen'!$F$24-'Achtergrond verbruiksprofielen'!$E$24)/('Achtergrond verbruiksprofielen'!$F$22-'Achtergrond verbruiksprofielen'!$E$22)</f>
        <v>8.8735098271037094E-2</v>
      </c>
      <c r="R54" s="35">
        <f>'Achtergrond verbruiksprofielen'!$E$24+(R50-'Achtergrond verbruiksprofielen'!$E$22)*('Achtergrond verbruiksprofielen'!$F$24-'Achtergrond verbruiksprofielen'!$E$24)/('Achtergrond verbruiksprofielen'!$F$22-'Achtergrond verbruiksprofielen'!$E$22)</f>
        <v>8.6526778691114414E-2</v>
      </c>
      <c r="S54" s="35">
        <f>'Achtergrond verbruiksprofielen'!$E$24+(S50-'Achtergrond verbruiksprofielen'!$E$22)*('Achtergrond verbruiksprofielen'!$F$24-'Achtergrond verbruiksprofielen'!$E$24)/('Achtergrond verbruiksprofielen'!$F$22-'Achtergrond verbruiksprofielen'!$E$22)</f>
        <v>8.4318459111191721E-2</v>
      </c>
      <c r="T54" s="35">
        <f>'Achtergrond verbruiksprofielen'!$F$24</f>
        <v>8.2110139531269041E-2</v>
      </c>
      <c r="U54" s="35">
        <f>'Achtergrond verbruiksprofielen'!$F$24+(U50-'Achtergrond verbruiksprofielen'!$F$22)*('Achtergrond verbruiksprofielen'!$G$24-'Achtergrond verbruiksprofielen'!$F$24)/('Achtergrond verbruiksprofielen'!$G$22-'Achtergrond verbruiksprofielen'!$F$22)</f>
        <v>8.0705368110142589E-2</v>
      </c>
      <c r="V54" s="35">
        <f>'Achtergrond verbruiksprofielen'!$F$24+(V50-'Achtergrond verbruiksprofielen'!$F$22)*('Achtergrond verbruiksprofielen'!$G$24-'Achtergrond verbruiksprofielen'!$F$24)/('Achtergrond verbruiksprofielen'!$G$22-'Achtergrond verbruiksprofielen'!$F$22)</f>
        <v>7.9300596689016137E-2</v>
      </c>
      <c r="W54" s="35">
        <f>'Achtergrond verbruiksprofielen'!$F$24+(W50-'Achtergrond verbruiksprofielen'!$F$22)*('Achtergrond verbruiksprofielen'!$G$24-'Achtergrond verbruiksprofielen'!$F$24)/('Achtergrond verbruiksprofielen'!$G$22-'Achtergrond verbruiksprofielen'!$F$22)</f>
        <v>7.7895825267889685E-2</v>
      </c>
      <c r="X54" s="35">
        <f>'Achtergrond verbruiksprofielen'!$F$24+(X50-'Achtergrond verbruiksprofielen'!$F$22)*('Achtergrond verbruiksprofielen'!$G$24-'Achtergrond verbruiksprofielen'!$F$24)/('Achtergrond verbruiksprofielen'!$G$22-'Achtergrond verbruiksprofielen'!$F$22)</f>
        <v>7.6491053846763232E-2</v>
      </c>
      <c r="Y54" s="35">
        <f>'Achtergrond verbruiksprofielen'!$G$24</f>
        <v>7.508628242563678E-2</v>
      </c>
      <c r="Z54" s="35">
        <f>'Achtergrond verbruiksprofielen'!$G$24+(Z50-'Achtergrond verbruiksprofielen'!$G$22)*('Achtergrond verbruiksprofielen'!$H$24-'Achtergrond verbruiksprofielen'!$G$24)/('Achtergrond verbruiksprofielen'!$H$22-'Achtergrond verbruiksprofielen'!$G$22)</f>
        <v>7.6861473981872069E-2</v>
      </c>
      <c r="AA54" s="35">
        <f>'Achtergrond verbruiksprofielen'!$G$24+(AA50-'Achtergrond verbruiksprofielen'!$G$22)*('Achtergrond verbruiksprofielen'!$H$24-'Achtergrond verbruiksprofielen'!$G$24)/('Achtergrond verbruiksprofielen'!$H$22-'Achtergrond verbruiksprofielen'!$G$22)</f>
        <v>7.8636665538107359E-2</v>
      </c>
      <c r="AB54" s="35">
        <f>'Achtergrond verbruiksprofielen'!$G$24+(AB50-'Achtergrond verbruiksprofielen'!$G$22)*('Achtergrond verbruiksprofielen'!$H$24-'Achtergrond verbruiksprofielen'!$G$24)/('Achtergrond verbruiksprofielen'!$H$22-'Achtergrond verbruiksprofielen'!$G$22)</f>
        <v>8.0411857094342662E-2</v>
      </c>
      <c r="AC54" s="35">
        <f>'Achtergrond verbruiksprofielen'!$G$24+(AC50-'Achtergrond verbruiksprofielen'!$G$22)*('Achtergrond verbruiksprofielen'!$H$24-'Achtergrond verbruiksprofielen'!$G$24)/('Achtergrond verbruiksprofielen'!$H$22-'Achtergrond verbruiksprofielen'!$G$22)</f>
        <v>8.2187048650577951E-2</v>
      </c>
      <c r="AD54" s="35">
        <f>'Achtergrond verbruiksprofielen'!$H$24</f>
        <v>8.3962240206813241E-2</v>
      </c>
      <c r="AE54" s="35">
        <f>'Achtergrond verbruiksprofielen'!$H$24</f>
        <v>8.3962240206813241E-2</v>
      </c>
      <c r="AF54" s="35">
        <f>'Achtergrond verbruiksprofielen'!$H$24</f>
        <v>8.3962240206813241E-2</v>
      </c>
      <c r="AG54" s="35">
        <f>'Achtergrond verbruiksprofielen'!$H$24</f>
        <v>8.3962240206813241E-2</v>
      </c>
      <c r="AH54" s="35">
        <f>'Achtergrond verbruiksprofielen'!$H$24</f>
        <v>8.3962240206813241E-2</v>
      </c>
      <c r="AI54" s="60"/>
      <c r="AJ54" s="60"/>
      <c r="AK54" s="60"/>
    </row>
    <row r="55" spans="1:37" ht="15.6" x14ac:dyDescent="0.3">
      <c r="A55" s="11" t="s">
        <v>87</v>
      </c>
      <c r="B55" s="11"/>
      <c r="C55" s="33"/>
      <c r="D55" s="33" t="s">
        <v>88</v>
      </c>
      <c r="E55" s="361">
        <f>'Achtergrond verbruiksprofielen'!$C$25</f>
        <v>1460</v>
      </c>
      <c r="F55" s="361">
        <f>'Achtergrond verbruiksprofielen'!$C$25+(F50-'Achtergrond verbruiksprofielen'!$C$22)*('Achtergrond verbruiksprofielen'!$D$25-'Achtergrond verbruiksprofielen'!$C$25)/('Achtergrond verbruiksprofielen'!$D$22-'Achtergrond verbruiksprofielen'!$C$22)</f>
        <v>1460</v>
      </c>
      <c r="G55" s="361">
        <f>'Achtergrond verbruiksprofielen'!$C$25+(G50-'Achtergrond verbruiksprofielen'!$C$22)*('Achtergrond verbruiksprofielen'!$D$25-'Achtergrond verbruiksprofielen'!$C$25)/('Achtergrond verbruiksprofielen'!$D$22-'Achtergrond verbruiksprofielen'!$C$22)</f>
        <v>1460</v>
      </c>
      <c r="H55" s="361">
        <f>'Achtergrond verbruiksprofielen'!$C$25+(H50-'Achtergrond verbruiksprofielen'!$C$22)*('Achtergrond verbruiksprofielen'!$D$25-'Achtergrond verbruiksprofielen'!$C$25)/('Achtergrond verbruiksprofielen'!$D$22-'Achtergrond verbruiksprofielen'!$C$22)</f>
        <v>1460</v>
      </c>
      <c r="I55" s="361">
        <f>'Achtergrond verbruiksprofielen'!$C$25+(I50-'Achtergrond verbruiksprofielen'!$C$22)*('Achtergrond verbruiksprofielen'!$D$25-'Achtergrond verbruiksprofielen'!$C$25)/('Achtergrond verbruiksprofielen'!$D$22-'Achtergrond verbruiksprofielen'!$C$22)</f>
        <v>1460</v>
      </c>
      <c r="J55" s="361">
        <f>'Achtergrond verbruiksprofielen'!$D$25</f>
        <v>1460</v>
      </c>
      <c r="K55" s="361">
        <f>'Achtergrond verbruiksprofielen'!$D$25+(K50-'Achtergrond verbruiksprofielen'!$D$22)*('Achtergrond verbruiksprofielen'!$E$25-'Achtergrond verbruiksprofielen'!$D$25)/('Achtergrond verbruiksprofielen'!$E$22-'Achtergrond verbruiksprofielen'!$D$22)</f>
        <v>1460</v>
      </c>
      <c r="L55" s="361">
        <f>'Achtergrond verbruiksprofielen'!$D$25+(L50-'Achtergrond verbruiksprofielen'!$D$22)*('Achtergrond verbruiksprofielen'!$E$25-'Achtergrond verbruiksprofielen'!$D$25)/('Achtergrond verbruiksprofielen'!$E$22-'Achtergrond verbruiksprofielen'!$D$22)</f>
        <v>1460</v>
      </c>
      <c r="M55" s="361">
        <f>'Achtergrond verbruiksprofielen'!$D$25+(M50-'Achtergrond verbruiksprofielen'!$D$22)*('Achtergrond verbruiksprofielen'!$E$25-'Achtergrond verbruiksprofielen'!$D$25)/('Achtergrond verbruiksprofielen'!$E$22-'Achtergrond verbruiksprofielen'!$D$22)</f>
        <v>1460</v>
      </c>
      <c r="N55" s="361">
        <f>'Achtergrond verbruiksprofielen'!$D$25+(N50-'Achtergrond verbruiksprofielen'!$D$22)*('Achtergrond verbruiksprofielen'!$E$25-'Achtergrond verbruiksprofielen'!$D$25)/('Achtergrond verbruiksprofielen'!$E$22-'Achtergrond verbruiksprofielen'!$D$22)</f>
        <v>1460</v>
      </c>
      <c r="O55" s="361">
        <f>'Achtergrond verbruiksprofielen'!$E$25</f>
        <v>1460</v>
      </c>
      <c r="P55" s="361">
        <f>'Achtergrond verbruiksprofielen'!$E$25+(P50-'Achtergrond verbruiksprofielen'!$E$22)*('Achtergrond verbruiksprofielen'!$F$25-'Achtergrond verbruiksprofielen'!$E$25)/('Achtergrond verbruiksprofielen'!$F$22-'Achtergrond verbruiksprofielen'!$E$22)</f>
        <v>1460</v>
      </c>
      <c r="Q55" s="361">
        <f>'Achtergrond verbruiksprofielen'!$E$25+(Q50-'Achtergrond verbruiksprofielen'!$E$22)*('Achtergrond verbruiksprofielen'!$F$25-'Achtergrond verbruiksprofielen'!$E$25)/('Achtergrond verbruiksprofielen'!$F$22-'Achtergrond verbruiksprofielen'!$E$22)</f>
        <v>1460</v>
      </c>
      <c r="R55" s="361">
        <f>'Achtergrond verbruiksprofielen'!$E$25+(R50-'Achtergrond verbruiksprofielen'!$E$22)*('Achtergrond verbruiksprofielen'!$F$25-'Achtergrond verbruiksprofielen'!$E$25)/('Achtergrond verbruiksprofielen'!$F$22-'Achtergrond verbruiksprofielen'!$E$22)</f>
        <v>1460</v>
      </c>
      <c r="S55" s="361">
        <f>'Achtergrond verbruiksprofielen'!$E$25+(S50-'Achtergrond verbruiksprofielen'!$E$22)*('Achtergrond verbruiksprofielen'!$F$25-'Achtergrond verbruiksprofielen'!$E$25)/('Achtergrond verbruiksprofielen'!$F$22-'Achtergrond verbruiksprofielen'!$E$22)</f>
        <v>1460</v>
      </c>
      <c r="T55" s="361">
        <f>'Achtergrond verbruiksprofielen'!$F$25</f>
        <v>1460</v>
      </c>
      <c r="U55" s="361">
        <f>'Achtergrond verbruiksprofielen'!$F$25+(U50-'Achtergrond verbruiksprofielen'!$F$22)*('Achtergrond verbruiksprofielen'!$G$25-'Achtergrond verbruiksprofielen'!$F$25)/('Achtergrond verbruiksprofielen'!$G$22-'Achtergrond verbruiksprofielen'!$F$22)</f>
        <v>1460</v>
      </c>
      <c r="V55" s="361">
        <f>'Achtergrond verbruiksprofielen'!$F$25+(V50-'Achtergrond verbruiksprofielen'!$F$22)*('Achtergrond verbruiksprofielen'!$G$25-'Achtergrond verbruiksprofielen'!$F$25)/('Achtergrond verbruiksprofielen'!$G$22-'Achtergrond verbruiksprofielen'!$F$22)</f>
        <v>1460</v>
      </c>
      <c r="W55" s="361">
        <f>'Achtergrond verbruiksprofielen'!$F$25+(W50-'Achtergrond verbruiksprofielen'!$F$22)*('Achtergrond verbruiksprofielen'!$G$25-'Achtergrond verbruiksprofielen'!$F$25)/('Achtergrond verbruiksprofielen'!$G$22-'Achtergrond verbruiksprofielen'!$F$22)</f>
        <v>1460</v>
      </c>
      <c r="X55" s="361">
        <f>'Achtergrond verbruiksprofielen'!$F$25+(X50-'Achtergrond verbruiksprofielen'!$F$22)*('Achtergrond verbruiksprofielen'!$G$25-'Achtergrond verbruiksprofielen'!$F$25)/('Achtergrond verbruiksprofielen'!$G$22-'Achtergrond verbruiksprofielen'!$F$22)</f>
        <v>1460</v>
      </c>
      <c r="Y55" s="361">
        <f>'Achtergrond verbruiksprofielen'!$G$25</f>
        <v>1460</v>
      </c>
      <c r="Z55" s="361">
        <f>'Achtergrond verbruiksprofielen'!$G$25+(Z50-'Achtergrond verbruiksprofielen'!$G$22)*('Achtergrond verbruiksprofielen'!$H$25-'Achtergrond verbruiksprofielen'!$G$25)/('Achtergrond verbruiksprofielen'!$H$22-'Achtergrond verbruiksprofielen'!$G$22)</f>
        <v>1460</v>
      </c>
      <c r="AA55" s="361">
        <f>'Achtergrond verbruiksprofielen'!$G$25+(AA50-'Achtergrond verbruiksprofielen'!$G$22)*('Achtergrond verbruiksprofielen'!$H$25-'Achtergrond verbruiksprofielen'!$G$25)/('Achtergrond verbruiksprofielen'!$H$22-'Achtergrond verbruiksprofielen'!$G$22)</f>
        <v>1460</v>
      </c>
      <c r="AB55" s="361">
        <f>'Achtergrond verbruiksprofielen'!$G$25+(AB50-'Achtergrond verbruiksprofielen'!$G$22)*('Achtergrond verbruiksprofielen'!$H$25-'Achtergrond verbruiksprofielen'!$G$25)/('Achtergrond verbruiksprofielen'!$H$22-'Achtergrond verbruiksprofielen'!$G$22)</f>
        <v>1460</v>
      </c>
      <c r="AC55" s="361">
        <f>'Achtergrond verbruiksprofielen'!$G$25+(AC50-'Achtergrond verbruiksprofielen'!$G$22)*('Achtergrond verbruiksprofielen'!$H$25-'Achtergrond verbruiksprofielen'!$G$25)/('Achtergrond verbruiksprofielen'!$H$22-'Achtergrond verbruiksprofielen'!$G$22)</f>
        <v>1460</v>
      </c>
      <c r="AD55" s="361">
        <f>'Achtergrond verbruiksprofielen'!$H$25</f>
        <v>1460</v>
      </c>
      <c r="AE55" s="361">
        <f>'Achtergrond verbruiksprofielen'!$H$25</f>
        <v>1460</v>
      </c>
      <c r="AF55" s="361">
        <f>'Achtergrond verbruiksprofielen'!$H$25</f>
        <v>1460</v>
      </c>
      <c r="AG55" s="361">
        <f>'Achtergrond verbruiksprofielen'!$H$25</f>
        <v>1460</v>
      </c>
      <c r="AH55" s="361">
        <f>'Achtergrond verbruiksprofielen'!$H$25</f>
        <v>1460</v>
      </c>
      <c r="AI55" s="60"/>
      <c r="AJ55" s="60"/>
      <c r="AK55" s="60"/>
    </row>
    <row r="56" spans="1:37" ht="15.6" x14ac:dyDescent="0.3">
      <c r="A56" s="11"/>
      <c r="B56" s="11"/>
      <c r="C56" s="11"/>
      <c r="D56" s="11"/>
      <c r="E56" s="341"/>
      <c r="F56" s="341"/>
      <c r="G56" s="341"/>
      <c r="H56" s="341"/>
      <c r="I56" s="341"/>
      <c r="J56" s="341"/>
      <c r="K56" s="341"/>
      <c r="L56" s="341"/>
      <c r="M56" s="341"/>
      <c r="N56" s="341"/>
      <c r="O56" s="341"/>
      <c r="P56" s="341"/>
      <c r="Q56" s="341"/>
      <c r="R56" s="341"/>
      <c r="S56" s="341"/>
      <c r="T56" s="341"/>
      <c r="U56" s="341"/>
      <c r="V56" s="341"/>
      <c r="W56" s="341"/>
      <c r="X56" s="341"/>
      <c r="Y56" s="341"/>
      <c r="Z56" s="341"/>
      <c r="AA56" s="341"/>
      <c r="AB56" s="341"/>
      <c r="AC56" s="341"/>
      <c r="AD56" s="341"/>
      <c r="AE56" s="341"/>
      <c r="AF56" s="341"/>
      <c r="AG56" s="341"/>
      <c r="AH56" s="341"/>
      <c r="AI56" s="60"/>
      <c r="AJ56" s="60"/>
      <c r="AK56" s="60"/>
    </row>
    <row r="57" spans="1:37" ht="15.6" x14ac:dyDescent="0.3">
      <c r="A57" s="66" t="s">
        <v>89</v>
      </c>
      <c r="B57" s="11"/>
      <c r="C57" s="11"/>
      <c r="D57" s="58" t="s">
        <v>81</v>
      </c>
      <c r="E57" s="58"/>
      <c r="F57" s="58"/>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60"/>
      <c r="AJ57" s="60"/>
      <c r="AK57" s="60"/>
    </row>
    <row r="58" spans="1:37" ht="18" x14ac:dyDescent="0.3">
      <c r="A58" s="11" t="s">
        <v>82</v>
      </c>
      <c r="B58" s="11"/>
      <c r="C58" s="11"/>
      <c r="D58" s="33" t="s">
        <v>90</v>
      </c>
      <c r="E58" s="50">
        <f>'Achtergrond verbruiksprofielen'!$C$50</f>
        <v>2.4E-2</v>
      </c>
      <c r="F58" s="50">
        <f>'Achtergrond verbruiksprofielen'!$C$50</f>
        <v>2.4E-2</v>
      </c>
      <c r="G58" s="50">
        <f>'Achtergrond verbruiksprofielen'!$C$50</f>
        <v>2.4E-2</v>
      </c>
      <c r="H58" s="50">
        <f>'Achtergrond verbruiksprofielen'!$C$50</f>
        <v>2.4E-2</v>
      </c>
      <c r="I58" s="50">
        <f>'Achtergrond verbruiksprofielen'!$C$50</f>
        <v>2.4E-2</v>
      </c>
      <c r="J58" s="50">
        <f>'Achtergrond verbruiksprofielen'!$C$50</f>
        <v>2.4E-2</v>
      </c>
      <c r="K58" s="50">
        <f>'Achtergrond verbruiksprofielen'!$C$50</f>
        <v>2.4E-2</v>
      </c>
      <c r="L58" s="50">
        <f>'Achtergrond verbruiksprofielen'!$C$50</f>
        <v>2.4E-2</v>
      </c>
      <c r="M58" s="50">
        <f>'Achtergrond verbruiksprofielen'!$C$50</f>
        <v>2.4E-2</v>
      </c>
      <c r="N58" s="50">
        <f>'Achtergrond verbruiksprofielen'!$C$50</f>
        <v>2.4E-2</v>
      </c>
      <c r="O58" s="50">
        <f>'Achtergrond verbruiksprofielen'!$C$50</f>
        <v>2.4E-2</v>
      </c>
      <c r="P58" s="50">
        <f>'Achtergrond verbruiksprofielen'!$C$50</f>
        <v>2.4E-2</v>
      </c>
      <c r="Q58" s="50">
        <f>'Achtergrond verbruiksprofielen'!$C$50</f>
        <v>2.4E-2</v>
      </c>
      <c r="R58" s="50">
        <f>'Achtergrond verbruiksprofielen'!$C$50</f>
        <v>2.4E-2</v>
      </c>
      <c r="S58" s="50">
        <f>'Achtergrond verbruiksprofielen'!$C$50</f>
        <v>2.4E-2</v>
      </c>
      <c r="T58" s="50">
        <f>'Achtergrond verbruiksprofielen'!$C$50</f>
        <v>2.4E-2</v>
      </c>
      <c r="U58" s="50">
        <f>'Achtergrond verbruiksprofielen'!$C$50</f>
        <v>2.4E-2</v>
      </c>
      <c r="V58" s="50">
        <f>'Achtergrond verbruiksprofielen'!$C$50</f>
        <v>2.4E-2</v>
      </c>
      <c r="W58" s="50">
        <f>'Achtergrond verbruiksprofielen'!$C$50</f>
        <v>2.4E-2</v>
      </c>
      <c r="X58" s="50">
        <f>'Achtergrond verbruiksprofielen'!$C$50</f>
        <v>2.4E-2</v>
      </c>
      <c r="Y58" s="50">
        <f>'Achtergrond verbruiksprofielen'!$C$50</f>
        <v>2.4E-2</v>
      </c>
      <c r="Z58" s="50">
        <f>'Achtergrond verbruiksprofielen'!$C$50</f>
        <v>2.4E-2</v>
      </c>
      <c r="AA58" s="50">
        <f>'Achtergrond verbruiksprofielen'!$C$50</f>
        <v>2.4E-2</v>
      </c>
      <c r="AB58" s="50">
        <f>'Achtergrond verbruiksprofielen'!$C$50</f>
        <v>2.4E-2</v>
      </c>
      <c r="AC58" s="50">
        <f>'Achtergrond verbruiksprofielen'!$C$50</f>
        <v>2.4E-2</v>
      </c>
      <c r="AD58" s="50">
        <f>'Achtergrond verbruiksprofielen'!$C$50</f>
        <v>2.4E-2</v>
      </c>
      <c r="AE58" s="50">
        <f>'Achtergrond verbruiksprofielen'!$C$50</f>
        <v>2.4E-2</v>
      </c>
      <c r="AF58" s="50">
        <f>'Achtergrond verbruiksprofielen'!$C$50</f>
        <v>2.4E-2</v>
      </c>
      <c r="AG58" s="50">
        <f>'Achtergrond verbruiksprofielen'!$C$50</f>
        <v>2.4E-2</v>
      </c>
      <c r="AH58" s="50">
        <f>'Achtergrond verbruiksprofielen'!$C$50</f>
        <v>2.4E-2</v>
      </c>
      <c r="AI58" s="60"/>
      <c r="AJ58" s="60"/>
      <c r="AK58" s="60"/>
    </row>
    <row r="59" spans="1:37" ht="18" x14ac:dyDescent="0.4">
      <c r="A59" s="11" t="s">
        <v>178</v>
      </c>
      <c r="B59" s="11"/>
      <c r="C59" s="11"/>
      <c r="D59" s="223" t="s">
        <v>167</v>
      </c>
      <c r="E59" s="35">
        <v>0</v>
      </c>
      <c r="F59" s="35">
        <v>0</v>
      </c>
      <c r="G59" s="35">
        <v>0</v>
      </c>
      <c r="H59" s="35">
        <f>_xlfn.FORECAST.LINEAR(H$6,'Achtergrond verbruiksprofielen'!$C$54:$D$54,'Achtergrond verbruiksprofielen'!$C$52:$D$52)</f>
        <v>8.0000000000008953E-3</v>
      </c>
      <c r="I59" s="35">
        <f>_xlfn.FORECAST.LINEAR(I$6,'Achtergrond verbruiksprofielen'!$C$54:$D$54,'Achtergrond verbruiksprofielen'!$C$52:$D$52)</f>
        <v>1.3999999999999346E-2</v>
      </c>
      <c r="J59" s="35">
        <f>'Achtergrond verbruiksprofielen'!$D$54</f>
        <v>0.02</v>
      </c>
      <c r="K59" s="35">
        <f>_xlfn.FORECAST.LINEAR(K$6,'Achtergrond verbruiksprofielen'!$D$54:$E$54,'Achtergrond verbruiksprofielen'!$D$52:$E$52)</f>
        <v>2.3999999999999133E-2</v>
      </c>
      <c r="L59" s="35">
        <f>_xlfn.FORECAST.LINEAR(L$6,'Achtergrond verbruiksprofielen'!$D$54:$E$54,'Achtergrond verbruiksprofielen'!$D$52:$E$52)</f>
        <v>2.7999999999998693E-2</v>
      </c>
      <c r="M59" s="35">
        <f>_xlfn.FORECAST.LINEAR(M$6,'Achtergrond verbruiksprofielen'!$D$54:$E$54,'Achtergrond verbruiksprofielen'!$D$52:$E$52)</f>
        <v>3.1999999999998252E-2</v>
      </c>
      <c r="N59" s="35">
        <f>_xlfn.FORECAST.LINEAR(N$6,'Achtergrond verbruiksprofielen'!$D$54:$E$54,'Achtergrond verbruiksprofielen'!$D$52:$E$52)</f>
        <v>3.5999999999999588E-2</v>
      </c>
      <c r="O59" s="35">
        <f>'Achtergrond verbruiksprofielen'!$E$54</f>
        <v>0.04</v>
      </c>
      <c r="P59" s="35">
        <f>_xlfn.FORECAST.LINEAR(P$6,'Achtergrond verbruiksprofielen'!$E$54:$F$54,'Achtergrond verbruiksprofielen'!$E$52:$F$52)</f>
        <v>4.4000000000000483E-2</v>
      </c>
      <c r="Q59" s="35">
        <f>_xlfn.FORECAST.LINEAR(Q$6,'Achtergrond verbruiksprofielen'!$E$54:$F$54,'Achtergrond verbruiksprofielen'!$E$52:$F$52)</f>
        <v>4.8000000000000043E-2</v>
      </c>
      <c r="R59" s="35">
        <f>_xlfn.FORECAST.LINEAR(R$6,'Achtergrond verbruiksprofielen'!$E$54:$F$54,'Achtergrond verbruiksprofielen'!$E$52:$F$52)</f>
        <v>5.2000000000001378E-2</v>
      </c>
      <c r="S59" s="35">
        <f>_xlfn.FORECAST.LINEAR(S$6,'Achtergrond verbruiksprofielen'!$E$54:$F$54,'Achtergrond verbruiksprofielen'!$E$52:$F$52)</f>
        <v>5.6000000000000938E-2</v>
      </c>
      <c r="T59" s="35">
        <f>'Achtergrond verbruiksprofielen'!$F$54</f>
        <v>0.06</v>
      </c>
      <c r="U59" s="35">
        <f>'Achtergrond verbruiksprofielen'!$F$54</f>
        <v>0.06</v>
      </c>
      <c r="V59" s="35">
        <f>'Achtergrond verbruiksprofielen'!$F$54</f>
        <v>0.06</v>
      </c>
      <c r="W59" s="35">
        <f>'Achtergrond verbruiksprofielen'!$F$54</f>
        <v>0.06</v>
      </c>
      <c r="X59" s="35">
        <f>'Achtergrond verbruiksprofielen'!$F$54</f>
        <v>0.06</v>
      </c>
      <c r="Y59" s="35">
        <f>'Achtergrond verbruiksprofielen'!$F$54</f>
        <v>0.06</v>
      </c>
      <c r="Z59" s="35">
        <f>'Achtergrond verbruiksprofielen'!$F$54</f>
        <v>0.06</v>
      </c>
      <c r="AA59" s="35">
        <f>'Achtergrond verbruiksprofielen'!$F$54</f>
        <v>0.06</v>
      </c>
      <c r="AB59" s="35">
        <f>'Achtergrond verbruiksprofielen'!$F$54</f>
        <v>0.06</v>
      </c>
      <c r="AC59" s="35">
        <f>'Achtergrond verbruiksprofielen'!$F$54</f>
        <v>0.06</v>
      </c>
      <c r="AD59" s="35">
        <f>'Achtergrond verbruiksprofielen'!$F$54</f>
        <v>0.06</v>
      </c>
      <c r="AE59" s="35">
        <f>'Achtergrond verbruiksprofielen'!$F$54</f>
        <v>0.06</v>
      </c>
      <c r="AF59" s="35">
        <f>'Achtergrond verbruiksprofielen'!$F$54</f>
        <v>0.06</v>
      </c>
      <c r="AG59" s="35">
        <f>'Achtergrond verbruiksprofielen'!$F$54</f>
        <v>0.06</v>
      </c>
      <c r="AH59" s="35">
        <f>'Achtergrond verbruiksprofielen'!$F$54</f>
        <v>0.06</v>
      </c>
      <c r="AI59" s="60"/>
      <c r="AJ59" s="60"/>
      <c r="AK59" s="60"/>
    </row>
    <row r="60" spans="1:37" ht="18" x14ac:dyDescent="0.3">
      <c r="A60" s="11" t="s">
        <v>86</v>
      </c>
      <c r="B60" s="11"/>
      <c r="C60" s="11"/>
      <c r="D60" s="33" t="s">
        <v>62</v>
      </c>
      <c r="E60" s="35">
        <f>'Achtergrond verbruiksprofielen'!$C$68</f>
        <v>7.8022335910169938E-2</v>
      </c>
      <c r="F60" s="35">
        <f>'Achtergrond verbruiksprofielen'!$C$68+(F50-'Achtergrond verbruiksprofielen'!$C$66)*('Achtergrond verbruiksprofielen'!$D$68-'Achtergrond verbruiksprofielen'!$C$68)/('Achtergrond verbruiksprofielen'!$D$66-'Achtergrond verbruiksprofielen'!$C$66)</f>
        <v>7.8859613382147378E-2</v>
      </c>
      <c r="G60" s="35">
        <f>'Achtergrond verbruiksprofielen'!$C$68+(G50-'Achtergrond verbruiksprofielen'!$C$66)*('Achtergrond verbruiksprofielen'!$D$68-'Achtergrond verbruiksprofielen'!$C$68)/('Achtergrond verbruiksprofielen'!$D$66-'Achtergrond verbruiksprofielen'!$C$66)</f>
        <v>7.9696890854124805E-2</v>
      </c>
      <c r="H60" s="35">
        <f>'Achtergrond verbruiksprofielen'!$C$68+(H50-'Achtergrond verbruiksprofielen'!$C$66)*('Achtergrond verbruiksprofielen'!$D$68-'Achtergrond verbruiksprofielen'!$C$68)/('Achtergrond verbruiksprofielen'!$D$66-'Achtergrond verbruiksprofielen'!$C$66)</f>
        <v>8.0534168326102246E-2</v>
      </c>
      <c r="I60" s="35">
        <f>'Achtergrond verbruiksprofielen'!$C$68+(I50-'Achtergrond verbruiksprofielen'!$C$66)*('Achtergrond verbruiksprofielen'!$D$68-'Achtergrond verbruiksprofielen'!$C$68)/('Achtergrond verbruiksprofielen'!$D$66-'Achtergrond verbruiksprofielen'!$C$66)</f>
        <v>8.1371445798079672E-2</v>
      </c>
      <c r="J60" s="35">
        <f>'Achtergrond verbruiksprofielen'!$D$68</f>
        <v>8.2208723270057113E-2</v>
      </c>
      <c r="K60" s="35">
        <f>'Achtergrond verbruiksprofielen'!$D$68+(K50-'Achtergrond verbruiksprofielen'!$D$66)*('Achtergrond verbruiksprofielen'!$E$68-'Achtergrond verbruiksprofielen'!$D$68)/('Achtergrond verbruiksprofielen'!$E$66-'Achtergrond verbruiksprofielen'!$D$66)</f>
        <v>7.997656977659176E-2</v>
      </c>
      <c r="L60" s="35">
        <f>'Achtergrond verbruiksprofielen'!$D$68+(L50-'Achtergrond verbruiksprofielen'!$D$66)*('Achtergrond verbruiksprofielen'!$E$68-'Achtergrond verbruiksprofielen'!$D$68)/('Achtergrond verbruiksprofielen'!$E$66-'Achtergrond verbruiksprofielen'!$D$66)</f>
        <v>7.7744416283126408E-2</v>
      </c>
      <c r="M60" s="35">
        <f>'Achtergrond verbruiksprofielen'!$D$68+(M50-'Achtergrond verbruiksprofielen'!$D$66)*('Achtergrond verbruiksprofielen'!$E$68-'Achtergrond verbruiksprofielen'!$D$68)/('Achtergrond verbruiksprofielen'!$E$66-'Achtergrond verbruiksprofielen'!$D$66)</f>
        <v>7.5512262789661042E-2</v>
      </c>
      <c r="N60" s="35">
        <f>'Achtergrond verbruiksprofielen'!$D$68+(N50-'Achtergrond verbruiksprofielen'!$D$66)*('Achtergrond verbruiksprofielen'!$E$68-'Achtergrond verbruiksprofielen'!$D$68)/('Achtergrond verbruiksprofielen'!$E$66-'Achtergrond verbruiksprofielen'!$D$66)</f>
        <v>7.3280109296195689E-2</v>
      </c>
      <c r="O60" s="35">
        <f>'Achtergrond verbruiksprofielen'!$E$68</f>
        <v>7.1047955802730337E-2</v>
      </c>
      <c r="P60" s="35">
        <f>'Achtergrond verbruiksprofielen'!$E$68+(P50-'Achtergrond verbruiksprofielen'!$E$66)*('Achtergrond verbruiksprofielen'!$F$68-'Achtergrond verbruiksprofielen'!$E$68)/('Achtergrond verbruiksprofielen'!$F$66-'Achtergrond verbruiksprofielen'!$E$66)</f>
        <v>6.9298986499054721E-2</v>
      </c>
      <c r="Q60" s="35">
        <f>'Achtergrond verbruiksprofielen'!$E$68+(Q50-'Achtergrond verbruiksprofielen'!$E$66)*('Achtergrond verbruiksprofielen'!$F$68-'Achtergrond verbruiksprofielen'!$E$68)/('Achtergrond verbruiksprofielen'!$F$66-'Achtergrond verbruiksprofielen'!$E$66)</f>
        <v>6.755001719537912E-2</v>
      </c>
      <c r="R60" s="35">
        <f>'Achtergrond verbruiksprofielen'!$E$68+(R50-'Achtergrond verbruiksprofielen'!$E$66)*('Achtergrond verbruiksprofielen'!$F$68-'Achtergrond verbruiksprofielen'!$E$68)/('Achtergrond verbruiksprofielen'!$F$66-'Achtergrond verbruiksprofielen'!$E$66)</f>
        <v>6.5801047891703504E-2</v>
      </c>
      <c r="S60" s="35">
        <f>'Achtergrond verbruiksprofielen'!$E$68+(S50-'Achtergrond verbruiksprofielen'!$E$66)*('Achtergrond verbruiksprofielen'!$F$68-'Achtergrond verbruiksprofielen'!$E$68)/('Achtergrond verbruiksprofielen'!$F$66-'Achtergrond verbruiksprofielen'!$E$66)</f>
        <v>6.4052078588027903E-2</v>
      </c>
      <c r="T60" s="35">
        <f>'Achtergrond verbruiksprofielen'!$F$68</f>
        <v>6.2303109284352287E-2</v>
      </c>
      <c r="U60" s="35">
        <f>'Achtergrond verbruiksprofielen'!$F$68+(U50-'Achtergrond verbruiksprofielen'!$F$66)*('Achtergrond verbruiksprofielen'!$G$68-'Achtergrond verbruiksprofielen'!$F$68)/('Achtergrond verbruiksprofielen'!$G$66-'Achtergrond verbruiksprofielen'!$F$66)</f>
        <v>6.2699659085068041E-2</v>
      </c>
      <c r="V60" s="35">
        <f>'Achtergrond verbruiksprofielen'!$F$68+(V50-'Achtergrond verbruiksprofielen'!$F$66)*('Achtergrond verbruiksprofielen'!$G$68-'Achtergrond verbruiksprofielen'!$F$68)/('Achtergrond verbruiksprofielen'!$G$66-'Achtergrond verbruiksprofielen'!$F$66)</f>
        <v>6.3096208885783794E-2</v>
      </c>
      <c r="W60" s="35">
        <f>'Achtergrond verbruiksprofielen'!$F$68+(W50-'Achtergrond verbruiksprofielen'!$F$66)*('Achtergrond verbruiksprofielen'!$G$68-'Achtergrond verbruiksprofielen'!$F$68)/('Achtergrond verbruiksprofielen'!$G$66-'Achtergrond verbruiksprofielen'!$F$66)</f>
        <v>6.3492758686499534E-2</v>
      </c>
      <c r="X60" s="35">
        <f>'Achtergrond verbruiksprofielen'!$F$68+(X50-'Achtergrond verbruiksprofielen'!$F$66)*('Achtergrond verbruiksprofielen'!$G$68-'Achtergrond verbruiksprofielen'!$F$68)/('Achtergrond verbruiksprofielen'!$G$66-'Achtergrond verbruiksprofielen'!$F$66)</f>
        <v>6.3889308487215288E-2</v>
      </c>
      <c r="Y60" s="35">
        <f>'Achtergrond verbruiksprofielen'!$G$68</f>
        <v>6.4285858287931041E-2</v>
      </c>
      <c r="Z60" s="35">
        <f>'Achtergrond verbruiksprofielen'!$G$68+(Z50-'Achtergrond verbruiksprofielen'!$G$66)*('Achtergrond verbruiksprofielen'!$H$68-'Achtergrond verbruiksprofielen'!$G$68)/('Achtergrond verbruiksprofielen'!$H$66-'Achtergrond verbruiksprofielen'!$G$66)</f>
        <v>6.3178336435772725E-2</v>
      </c>
      <c r="AA60" s="35">
        <f>'Achtergrond verbruiksprofielen'!$G$68+(AA50-'Achtergrond verbruiksprofielen'!$G$66)*('Achtergrond verbruiksprofielen'!$H$68-'Achtergrond verbruiksprofielen'!$G$68)/('Achtergrond verbruiksprofielen'!$H$66-'Achtergrond verbruiksprofielen'!$G$66)</f>
        <v>6.2070814583614423E-2</v>
      </c>
      <c r="AB60" s="35">
        <f>'Achtergrond verbruiksprofielen'!$G$68+(AB50-'Achtergrond verbruiksprofielen'!$G$66)*('Achtergrond verbruiksprofielen'!$H$68-'Achtergrond verbruiksprofielen'!$G$68)/('Achtergrond verbruiksprofielen'!$H$66-'Achtergrond verbruiksprofielen'!$G$66)</f>
        <v>6.0963292731456113E-2</v>
      </c>
      <c r="AC60" s="35">
        <f>'Achtergrond verbruiksprofielen'!$G$68+(AC50-'Achtergrond verbruiksprofielen'!$G$66)*('Achtergrond verbruiksprofielen'!$H$68-'Achtergrond verbruiksprofielen'!$G$68)/('Achtergrond verbruiksprofielen'!$H$66-'Achtergrond verbruiksprofielen'!$G$66)</f>
        <v>5.9855770879297804E-2</v>
      </c>
      <c r="AD60" s="35">
        <f>'Achtergrond verbruiksprofielen'!$H$68</f>
        <v>5.8748249027139494E-2</v>
      </c>
      <c r="AE60" s="35">
        <f>'Achtergrond verbruiksprofielen'!$H$68</f>
        <v>5.8748249027139494E-2</v>
      </c>
      <c r="AF60" s="35">
        <f>'Achtergrond verbruiksprofielen'!$H$68</f>
        <v>5.8748249027139494E-2</v>
      </c>
      <c r="AG60" s="35">
        <f>'Achtergrond verbruiksprofielen'!$H$68</f>
        <v>5.8748249027139494E-2</v>
      </c>
      <c r="AH60" s="35">
        <f>'Achtergrond verbruiksprofielen'!$H$68</f>
        <v>5.8748249027139494E-2</v>
      </c>
      <c r="AI60" s="60"/>
      <c r="AJ60" s="60"/>
      <c r="AK60" s="60"/>
    </row>
    <row r="61" spans="1:37" ht="15.6" x14ac:dyDescent="0.3">
      <c r="A61" s="11" t="s">
        <v>87</v>
      </c>
      <c r="B61" s="11"/>
      <c r="C61" s="33"/>
      <c r="D61" s="33" t="s">
        <v>88</v>
      </c>
      <c r="E61" s="361">
        <f>'Achtergrond verbruiksprofielen'!$C$69</f>
        <v>1460</v>
      </c>
      <c r="F61" s="361">
        <f>'Achtergrond verbruiksprofielen'!$C$69+(F50-'Achtergrond verbruiksprofielen'!$C$66)*('Achtergrond verbruiksprofielen'!$D$69-'Achtergrond verbruiksprofielen'!$C$69)/('Achtergrond verbruiksprofielen'!$D$66-'Achtergrond verbruiksprofielen'!$C$66)</f>
        <v>1460</v>
      </c>
      <c r="G61" s="361">
        <f>'Achtergrond verbruiksprofielen'!$C$69+(G50-'Achtergrond verbruiksprofielen'!$C$66)*('Achtergrond verbruiksprofielen'!$D$69-'Achtergrond verbruiksprofielen'!$C$69)/('Achtergrond verbruiksprofielen'!$D$66-'Achtergrond verbruiksprofielen'!$C$66)</f>
        <v>1460</v>
      </c>
      <c r="H61" s="361">
        <f>'Achtergrond verbruiksprofielen'!$C$69+(H50-'Achtergrond verbruiksprofielen'!$C$66)*('Achtergrond verbruiksprofielen'!$D$69-'Achtergrond verbruiksprofielen'!$C$69)/('Achtergrond verbruiksprofielen'!$D$66-'Achtergrond verbruiksprofielen'!$C$66)</f>
        <v>1460</v>
      </c>
      <c r="I61" s="361">
        <f>'Achtergrond verbruiksprofielen'!$C$69+(I50-'Achtergrond verbruiksprofielen'!$C$66)*('Achtergrond verbruiksprofielen'!$D$69-'Achtergrond verbruiksprofielen'!$C$69)/('Achtergrond verbruiksprofielen'!$D$66-'Achtergrond verbruiksprofielen'!$C$66)</f>
        <v>1460</v>
      </c>
      <c r="J61" s="361">
        <f>'Achtergrond verbruiksprofielen'!$D$69</f>
        <v>1460</v>
      </c>
      <c r="K61" s="361">
        <f>'Achtergrond verbruiksprofielen'!$D$69+(K50-'Achtergrond verbruiksprofielen'!$D$66)*('Achtergrond verbruiksprofielen'!$E$69-'Achtergrond verbruiksprofielen'!$D$69)/('Achtergrond verbruiksprofielen'!$E$66-'Achtergrond verbruiksprofielen'!$D$66)</f>
        <v>1460</v>
      </c>
      <c r="L61" s="361">
        <f>'Achtergrond verbruiksprofielen'!$D$69+(L50-'Achtergrond verbruiksprofielen'!$D$66)*('Achtergrond verbruiksprofielen'!$E$69-'Achtergrond verbruiksprofielen'!$D$69)/('Achtergrond verbruiksprofielen'!$E$66-'Achtergrond verbruiksprofielen'!$D$66)</f>
        <v>1460</v>
      </c>
      <c r="M61" s="361">
        <f>'Achtergrond verbruiksprofielen'!$D$69+(M50-'Achtergrond verbruiksprofielen'!$D$66)*('Achtergrond verbruiksprofielen'!$E$69-'Achtergrond verbruiksprofielen'!$D$69)/('Achtergrond verbruiksprofielen'!$E$66-'Achtergrond verbruiksprofielen'!$D$66)</f>
        <v>1460</v>
      </c>
      <c r="N61" s="361">
        <f>'Achtergrond verbruiksprofielen'!$D$69+(N50-'Achtergrond verbruiksprofielen'!$D$66)*('Achtergrond verbruiksprofielen'!$E$69-'Achtergrond verbruiksprofielen'!$D$69)/('Achtergrond verbruiksprofielen'!$E$66-'Achtergrond verbruiksprofielen'!$D$66)</f>
        <v>1460</v>
      </c>
      <c r="O61" s="361">
        <f>'Achtergrond verbruiksprofielen'!$E$69</f>
        <v>1460</v>
      </c>
      <c r="P61" s="361">
        <f>'Achtergrond verbruiksprofielen'!$E$69+(P50-'Achtergrond verbruiksprofielen'!$E$66)*('Achtergrond verbruiksprofielen'!$F$69-'Achtergrond verbruiksprofielen'!$E$69)/('Achtergrond verbruiksprofielen'!$F$66-'Achtergrond verbruiksprofielen'!$E$66)</f>
        <v>1460</v>
      </c>
      <c r="Q61" s="361">
        <f>'Achtergrond verbruiksprofielen'!$E$69+(Q50-'Achtergrond verbruiksprofielen'!$E$66)*('Achtergrond verbruiksprofielen'!$F$69-'Achtergrond verbruiksprofielen'!$E$69)/('Achtergrond verbruiksprofielen'!$F$66-'Achtergrond verbruiksprofielen'!$E$66)</f>
        <v>1460</v>
      </c>
      <c r="R61" s="361">
        <f>'Achtergrond verbruiksprofielen'!$E$69+(R50-'Achtergrond verbruiksprofielen'!$E$66)*('Achtergrond verbruiksprofielen'!$F$69-'Achtergrond verbruiksprofielen'!$E$69)/('Achtergrond verbruiksprofielen'!$F$66-'Achtergrond verbruiksprofielen'!$E$66)</f>
        <v>1460</v>
      </c>
      <c r="S61" s="361">
        <f>'Achtergrond verbruiksprofielen'!$E$69+(S50-'Achtergrond verbruiksprofielen'!$E$66)*('Achtergrond verbruiksprofielen'!$F$69-'Achtergrond verbruiksprofielen'!$E$69)/('Achtergrond verbruiksprofielen'!$F$66-'Achtergrond verbruiksprofielen'!$E$66)</f>
        <v>1460</v>
      </c>
      <c r="T61" s="361">
        <f>'Achtergrond verbruiksprofielen'!$F$69</f>
        <v>1460</v>
      </c>
      <c r="U61" s="361">
        <f>'Achtergrond verbruiksprofielen'!$F$69+(U50-'Achtergrond verbruiksprofielen'!$F$66)*('Achtergrond verbruiksprofielen'!$G$69-'Achtergrond verbruiksprofielen'!$F$69)/('Achtergrond verbruiksprofielen'!$G$66-'Achtergrond verbruiksprofielen'!$F$66)</f>
        <v>1460</v>
      </c>
      <c r="V61" s="361">
        <f>'Achtergrond verbruiksprofielen'!$F$69+(V50-'Achtergrond verbruiksprofielen'!$F$66)*('Achtergrond verbruiksprofielen'!$G$69-'Achtergrond verbruiksprofielen'!$F$69)/('Achtergrond verbruiksprofielen'!$G$66-'Achtergrond verbruiksprofielen'!$F$66)</f>
        <v>1460</v>
      </c>
      <c r="W61" s="361">
        <f>'Achtergrond verbruiksprofielen'!$F$69+(W50-'Achtergrond verbruiksprofielen'!$F$66)*('Achtergrond verbruiksprofielen'!$G$69-'Achtergrond verbruiksprofielen'!$F$69)/('Achtergrond verbruiksprofielen'!$G$66-'Achtergrond verbruiksprofielen'!$F$66)</f>
        <v>1460</v>
      </c>
      <c r="X61" s="361">
        <f>'Achtergrond verbruiksprofielen'!$F$69+(X50-'Achtergrond verbruiksprofielen'!$F$66)*('Achtergrond verbruiksprofielen'!$G$69-'Achtergrond verbruiksprofielen'!$F$69)/('Achtergrond verbruiksprofielen'!$G$66-'Achtergrond verbruiksprofielen'!$F$66)</f>
        <v>1460</v>
      </c>
      <c r="Y61" s="361">
        <f>'Achtergrond verbruiksprofielen'!$G$69</f>
        <v>1460</v>
      </c>
      <c r="Z61" s="361">
        <f>'Achtergrond verbruiksprofielen'!$G$69+(Z50-'Achtergrond verbruiksprofielen'!$G$66)*('Achtergrond verbruiksprofielen'!$H$69-'Achtergrond verbruiksprofielen'!$G$69)/('Achtergrond verbruiksprofielen'!$H$66-'Achtergrond verbruiksprofielen'!$G$66)</f>
        <v>1460</v>
      </c>
      <c r="AA61" s="361">
        <f>'Achtergrond verbruiksprofielen'!$G$69+(AA50-'Achtergrond verbruiksprofielen'!$G$66)*('Achtergrond verbruiksprofielen'!$H$69-'Achtergrond verbruiksprofielen'!$G$69)/('Achtergrond verbruiksprofielen'!$H$66-'Achtergrond verbruiksprofielen'!$G$66)</f>
        <v>1460</v>
      </c>
      <c r="AB61" s="361">
        <f>'Achtergrond verbruiksprofielen'!$G$69+(AB50-'Achtergrond verbruiksprofielen'!$G$66)*('Achtergrond verbruiksprofielen'!$H$69-'Achtergrond verbruiksprofielen'!$G$69)/('Achtergrond verbruiksprofielen'!$H$66-'Achtergrond verbruiksprofielen'!$G$66)</f>
        <v>1460</v>
      </c>
      <c r="AC61" s="361">
        <f>'Achtergrond verbruiksprofielen'!$G$69+(AC50-'Achtergrond verbruiksprofielen'!$G$66)*('Achtergrond verbruiksprofielen'!$H$69-'Achtergrond verbruiksprofielen'!$G$69)/('Achtergrond verbruiksprofielen'!$H$66-'Achtergrond verbruiksprofielen'!$G$66)</f>
        <v>1460</v>
      </c>
      <c r="AD61" s="361">
        <f>'Achtergrond verbruiksprofielen'!$H$69</f>
        <v>1460</v>
      </c>
      <c r="AE61" s="361">
        <f>'Achtergrond verbruiksprofielen'!$H$69</f>
        <v>1460</v>
      </c>
      <c r="AF61" s="361">
        <f>'Achtergrond verbruiksprofielen'!$H$69</f>
        <v>1460</v>
      </c>
      <c r="AG61" s="361">
        <f>'Achtergrond verbruiksprofielen'!$H$69</f>
        <v>1460</v>
      </c>
      <c r="AH61" s="361">
        <f>'Achtergrond verbruiksprofielen'!$H$69</f>
        <v>1460</v>
      </c>
      <c r="AI61" s="60"/>
      <c r="AJ61" s="60"/>
      <c r="AK61" s="60"/>
    </row>
    <row r="62" spans="1:37" ht="15.6" x14ac:dyDescent="0.3">
      <c r="A62" s="11"/>
      <c r="B62" s="11"/>
      <c r="C62" s="11"/>
      <c r="D62" s="11"/>
      <c r="E62" s="341"/>
      <c r="F62" s="341"/>
      <c r="G62" s="341"/>
      <c r="H62" s="341"/>
      <c r="I62" s="341"/>
      <c r="J62" s="341"/>
      <c r="K62" s="341"/>
      <c r="L62" s="341"/>
      <c r="M62" s="341"/>
      <c r="N62" s="341"/>
      <c r="O62" s="341"/>
      <c r="P62" s="341"/>
      <c r="Q62" s="341"/>
      <c r="R62" s="341"/>
      <c r="S62" s="341"/>
      <c r="T62" s="341"/>
      <c r="U62" s="341"/>
      <c r="V62" s="341"/>
      <c r="W62" s="341"/>
      <c r="X62" s="341"/>
      <c r="Y62" s="341"/>
      <c r="Z62" s="341"/>
      <c r="AA62" s="341"/>
      <c r="AB62" s="341"/>
      <c r="AC62" s="341"/>
      <c r="AD62" s="341"/>
      <c r="AE62" s="341"/>
      <c r="AF62" s="341"/>
      <c r="AG62" s="341"/>
      <c r="AH62" s="341"/>
      <c r="AI62" s="60"/>
      <c r="AJ62" s="60"/>
      <c r="AK62" s="60"/>
    </row>
    <row r="63" spans="1:37" ht="15.6" x14ac:dyDescent="0.3">
      <c r="A63" s="66" t="s">
        <v>91</v>
      </c>
      <c r="B63" s="11"/>
      <c r="C63" s="11"/>
      <c r="D63" s="58" t="s">
        <v>81</v>
      </c>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60"/>
      <c r="AJ63" s="60"/>
      <c r="AK63" s="60"/>
    </row>
    <row r="64" spans="1:37" ht="18" x14ac:dyDescent="0.3">
      <c r="A64" s="11" t="s">
        <v>82</v>
      </c>
      <c r="B64" s="11"/>
      <c r="C64" s="11"/>
      <c r="D64" s="33" t="s">
        <v>90</v>
      </c>
      <c r="E64" s="50">
        <f>'Achtergrond verbruiksprofielen'!$C$94</f>
        <v>3.2000000000000001E-2</v>
      </c>
      <c r="F64" s="50">
        <f>'Achtergrond verbruiksprofielen'!$C$94</f>
        <v>3.2000000000000001E-2</v>
      </c>
      <c r="G64" s="50">
        <f>'Achtergrond verbruiksprofielen'!$C$94</f>
        <v>3.2000000000000001E-2</v>
      </c>
      <c r="H64" s="50">
        <f>'Achtergrond verbruiksprofielen'!$C$94</f>
        <v>3.2000000000000001E-2</v>
      </c>
      <c r="I64" s="50">
        <f>'Achtergrond verbruiksprofielen'!$C$94</f>
        <v>3.2000000000000001E-2</v>
      </c>
      <c r="J64" s="50">
        <f>'Achtergrond verbruiksprofielen'!$C$94</f>
        <v>3.2000000000000001E-2</v>
      </c>
      <c r="K64" s="50">
        <f>'Achtergrond verbruiksprofielen'!$C$94</f>
        <v>3.2000000000000001E-2</v>
      </c>
      <c r="L64" s="50">
        <f>'Achtergrond verbruiksprofielen'!$C$94</f>
        <v>3.2000000000000001E-2</v>
      </c>
      <c r="M64" s="50">
        <f>'Achtergrond verbruiksprofielen'!$C$94</f>
        <v>3.2000000000000001E-2</v>
      </c>
      <c r="N64" s="50">
        <f>'Achtergrond verbruiksprofielen'!$C$94</f>
        <v>3.2000000000000001E-2</v>
      </c>
      <c r="O64" s="50">
        <f>'Achtergrond verbruiksprofielen'!$C$94</f>
        <v>3.2000000000000001E-2</v>
      </c>
      <c r="P64" s="50">
        <f>'Achtergrond verbruiksprofielen'!$C$94</f>
        <v>3.2000000000000001E-2</v>
      </c>
      <c r="Q64" s="50">
        <f>'Achtergrond verbruiksprofielen'!$C$94</f>
        <v>3.2000000000000001E-2</v>
      </c>
      <c r="R64" s="50">
        <f>'Achtergrond verbruiksprofielen'!$C$94</f>
        <v>3.2000000000000001E-2</v>
      </c>
      <c r="S64" s="50">
        <f>'Achtergrond verbruiksprofielen'!$C$94</f>
        <v>3.2000000000000001E-2</v>
      </c>
      <c r="T64" s="50">
        <f>'Achtergrond verbruiksprofielen'!$C$94</f>
        <v>3.2000000000000001E-2</v>
      </c>
      <c r="U64" s="50">
        <f>'Achtergrond verbruiksprofielen'!$C$94</f>
        <v>3.2000000000000001E-2</v>
      </c>
      <c r="V64" s="50">
        <f>'Achtergrond verbruiksprofielen'!$C$94</f>
        <v>3.2000000000000001E-2</v>
      </c>
      <c r="W64" s="50">
        <f>'Achtergrond verbruiksprofielen'!$C$94</f>
        <v>3.2000000000000001E-2</v>
      </c>
      <c r="X64" s="50">
        <f>'Achtergrond verbruiksprofielen'!$C$94</f>
        <v>3.2000000000000001E-2</v>
      </c>
      <c r="Y64" s="50">
        <f>'Achtergrond verbruiksprofielen'!$C$94</f>
        <v>3.2000000000000001E-2</v>
      </c>
      <c r="Z64" s="50">
        <f>'Achtergrond verbruiksprofielen'!$C$94</f>
        <v>3.2000000000000001E-2</v>
      </c>
      <c r="AA64" s="50">
        <f>'Achtergrond verbruiksprofielen'!$C$94</f>
        <v>3.2000000000000001E-2</v>
      </c>
      <c r="AB64" s="50">
        <f>'Achtergrond verbruiksprofielen'!$C$94</f>
        <v>3.2000000000000001E-2</v>
      </c>
      <c r="AC64" s="50">
        <f>'Achtergrond verbruiksprofielen'!$C$94</f>
        <v>3.2000000000000001E-2</v>
      </c>
      <c r="AD64" s="50">
        <f>'Achtergrond verbruiksprofielen'!$C$94</f>
        <v>3.2000000000000001E-2</v>
      </c>
      <c r="AE64" s="50">
        <f>'Achtergrond verbruiksprofielen'!$C$94</f>
        <v>3.2000000000000001E-2</v>
      </c>
      <c r="AF64" s="50">
        <f>'Achtergrond verbruiksprofielen'!$C$94</f>
        <v>3.2000000000000001E-2</v>
      </c>
      <c r="AG64" s="50">
        <f>'Achtergrond verbruiksprofielen'!$C$94</f>
        <v>3.2000000000000001E-2</v>
      </c>
      <c r="AH64" s="50">
        <f>'Achtergrond verbruiksprofielen'!$C$94</f>
        <v>3.2000000000000001E-2</v>
      </c>
      <c r="AI64" s="60"/>
      <c r="AJ64" s="60"/>
      <c r="AK64" s="60"/>
    </row>
    <row r="65" spans="1:37" ht="18" x14ac:dyDescent="0.4">
      <c r="A65" s="11" t="s">
        <v>178</v>
      </c>
      <c r="B65" s="11"/>
      <c r="C65" s="11"/>
      <c r="D65" s="223" t="s">
        <v>167</v>
      </c>
      <c r="E65" s="35">
        <v>0</v>
      </c>
      <c r="F65" s="35">
        <v>0</v>
      </c>
      <c r="G65" s="35">
        <v>0</v>
      </c>
      <c r="H65" s="35">
        <f>_xlfn.FORECAST.LINEAR(H$6,'Achtergrond verbruiksprofielen'!$C$98:$D$98,'Achtergrond verbruiksprofielen'!$C$96:$D$96)</f>
        <v>1.3999999999995794E-2</v>
      </c>
      <c r="I65" s="35">
        <f>_xlfn.FORECAST.LINEAR(I$6,'Achtergrond verbruiksprofielen'!$C$98:$D$98,'Achtergrond verbruiksprofielen'!$C$96:$D$96)</f>
        <v>2.9333333333330103E-2</v>
      </c>
      <c r="J65" s="35">
        <f>_xlfn.FORECAST.LINEAR(J$6,'Achtergrond verbruiksprofielen'!$C$98:$D$98,'Achtergrond verbruiksprofielen'!$C$96:$D$96)</f>
        <v>4.4666666666664412E-2</v>
      </c>
      <c r="K65" s="35">
        <f>_xlfn.FORECAST.LINEAR(K$6,'Achtergrond verbruiksprofielen'!$C$98:$D$98,'Achtergrond verbruiksprofielen'!$C$96:$D$96)</f>
        <v>5.9999999999998721E-2</v>
      </c>
      <c r="L65" s="35">
        <f>_xlfn.FORECAST.LINEAR(L$6,'Achtergrond verbruiksprofielen'!$C$98:$D$98,'Achtergrond verbruiksprofielen'!$C$96:$D$96)</f>
        <v>7.5333333333329477E-2</v>
      </c>
      <c r="M65" s="35">
        <f>_xlfn.FORECAST.LINEAR(M$6,'Achtergrond verbruiksprofielen'!$C$98:$D$98,'Achtergrond verbruiksprofielen'!$C$96:$D$96)</f>
        <v>9.0666666666663787E-2</v>
      </c>
      <c r="N65" s="35">
        <f>_xlfn.FORECAST.LINEAR(N$6,'Achtergrond verbruiksprofielen'!$C$98:$D$98,'Achtergrond verbruiksprofielen'!$C$96:$D$96)</f>
        <v>0.1059999999999981</v>
      </c>
      <c r="O65" s="35">
        <f>_xlfn.FORECAST.LINEAR(O$6,'Achtergrond verbruiksprofielen'!$C$98:$D$98,'Achtergrond verbruiksprofielen'!$C$96:$D$96)</f>
        <v>0.1213333333333324</v>
      </c>
      <c r="P65" s="35">
        <f>_xlfn.FORECAST.LINEAR(P$6,'Achtergrond verbruiksprofielen'!$C$98:$D$98,'Achtergrond verbruiksprofielen'!$C$96:$D$96)</f>
        <v>0.13666666666666316</v>
      </c>
      <c r="Q65" s="35">
        <f>_xlfn.FORECAST.LINEAR(Q$6,'Achtergrond verbruiksprofielen'!$C$98:$D$98,'Achtergrond verbruiksprofielen'!$C$96:$D$96)</f>
        <v>0.15199999999999747</v>
      </c>
      <c r="R65" s="35">
        <f>_xlfn.FORECAST.LINEAR(R$6,'Achtergrond verbruiksprofielen'!$C$98:$D$98,'Achtergrond verbruiksprofielen'!$C$96:$D$96)</f>
        <v>0.16733333333333178</v>
      </c>
      <c r="S65" s="35">
        <f>_xlfn.FORECAST.LINEAR(S$6,'Achtergrond verbruiksprofielen'!$C$98:$D$98,'Achtergrond verbruiksprofielen'!$C$96:$D$96)</f>
        <v>0.18266666666666254</v>
      </c>
      <c r="T65" s="35">
        <f>_xlfn.FORECAST.LINEAR(T$6,'Achtergrond verbruiksprofielen'!$C$98:$D$98,'Achtergrond verbruiksprofielen'!$C$96:$D$96)</f>
        <v>0.19799999999999685</v>
      </c>
      <c r="U65" s="35">
        <f>_xlfn.FORECAST.LINEAR(U$6,'Achtergrond verbruiksprofielen'!$C$98:$D$98,'Achtergrond verbruiksprofielen'!$C$96:$D$96)</f>
        <v>0.21333333333333115</v>
      </c>
      <c r="V65" s="35">
        <f>_xlfn.FORECAST.LINEAR(V$6,'Achtergrond verbruiksprofielen'!$C$98:$D$98,'Achtergrond verbruiksprofielen'!$C$96:$D$96)</f>
        <v>0.22866666666666546</v>
      </c>
      <c r="W65" s="35">
        <f>_xlfn.FORECAST.LINEAR(W$6,'Achtergrond verbruiksprofielen'!$C$98:$D$98,'Achtergrond verbruiksprofielen'!$C$96:$D$96)</f>
        <v>0.24399999999999622</v>
      </c>
      <c r="X65" s="35">
        <f>_xlfn.FORECAST.LINEAR(X$6,'Achtergrond verbruiksprofielen'!$C$98:$D$98,'Achtergrond verbruiksprofielen'!$C$96:$D$96)</f>
        <v>0.25933333333333053</v>
      </c>
      <c r="Y65" s="35">
        <f>_xlfn.FORECAST.LINEAR(Y$6,'Achtergrond verbruiksprofielen'!$C$98:$D$98,'Achtergrond verbruiksprofielen'!$C$96:$D$96)</f>
        <v>0.27466666666666484</v>
      </c>
      <c r="Z65" s="35">
        <f>_xlfn.FORECAST.LINEAR(Z$6,'Achtergrond verbruiksprofielen'!$C$98:$D$98,'Achtergrond verbruiksprofielen'!$C$96:$D$96)</f>
        <v>0.28999999999999915</v>
      </c>
      <c r="AA65" s="35">
        <f>_xlfn.FORECAST.LINEAR(AA$6,'Achtergrond verbruiksprofielen'!$C$98:$D$98,'Achtergrond verbruiksprofielen'!$C$96:$D$96)</f>
        <v>0.3053333333333299</v>
      </c>
      <c r="AB65" s="35">
        <f>_xlfn.FORECAST.LINEAR(AB$6,'Achtergrond verbruiksprofielen'!$C$98:$D$98,'Achtergrond verbruiksprofielen'!$C$96:$D$96)</f>
        <v>0.32066666666666421</v>
      </c>
      <c r="AC65" s="35">
        <f>_xlfn.FORECAST.LINEAR(AC$6,'Achtergrond verbruiksprofielen'!$C$98:$D$98,'Achtergrond verbruiksprofielen'!$C$96:$D$96)</f>
        <v>0.33599999999999852</v>
      </c>
      <c r="AD65" s="35">
        <f>'Achtergrond verbruiksprofielen'!$D$98</f>
        <v>0.06</v>
      </c>
      <c r="AE65" s="35">
        <f>'Achtergrond verbruiksprofielen'!$D$98</f>
        <v>0.06</v>
      </c>
      <c r="AF65" s="35">
        <f>'Achtergrond verbruiksprofielen'!$D$98</f>
        <v>0.06</v>
      </c>
      <c r="AG65" s="35">
        <f>'Achtergrond verbruiksprofielen'!$D$98</f>
        <v>0.06</v>
      </c>
      <c r="AH65" s="35">
        <f>'Achtergrond verbruiksprofielen'!$D$98</f>
        <v>0.06</v>
      </c>
      <c r="AI65" s="60"/>
      <c r="AJ65" s="60"/>
      <c r="AK65" s="60"/>
    </row>
    <row r="66" spans="1:37" ht="18" x14ac:dyDescent="0.3">
      <c r="A66" s="11" t="s">
        <v>86</v>
      </c>
      <c r="B66" s="11"/>
      <c r="C66" s="11"/>
      <c r="D66" s="33" t="s">
        <v>62</v>
      </c>
      <c r="E66" s="35">
        <f>'Achtergrond verbruiksprofielen'!$C$112</f>
        <v>5.3197283464566938E-2</v>
      </c>
      <c r="F66" s="35">
        <f>'Achtergrond verbruiksprofielen'!$C$112+(F50-'Achtergrond verbruiksprofielen'!$C$110)*('Achtergrond verbruiksprofielen'!$D$112-'Achtergrond verbruiksprofielen'!$C$112)/('Achtergrond verbruiksprofielen'!$D$110-'Achtergrond verbruiksprofielen'!$C$110)</f>
        <v>5.688628341898784E-2</v>
      </c>
      <c r="G66" s="35">
        <f>'Achtergrond verbruiksprofielen'!$C$112+(G50-'Achtergrond verbruiksprofielen'!$C$110)*('Achtergrond verbruiksprofielen'!$D$112-'Achtergrond verbruiksprofielen'!$C$112)/('Achtergrond verbruiksprofielen'!$D$110-'Achtergrond verbruiksprofielen'!$C$110)</f>
        <v>6.0575283373408742E-2</v>
      </c>
      <c r="H66" s="35">
        <f>'Achtergrond verbruiksprofielen'!$C$112+(H50-'Achtergrond verbruiksprofielen'!$C$110)*('Achtergrond verbruiksprofielen'!$D$112-'Achtergrond verbruiksprofielen'!$C$112)/('Achtergrond verbruiksprofielen'!$D$110-'Achtergrond verbruiksprofielen'!$C$110)</f>
        <v>6.4264283327829644E-2</v>
      </c>
      <c r="I66" s="35">
        <f>'Achtergrond verbruiksprofielen'!$C$112+(I50-'Achtergrond verbruiksprofielen'!$C$110)*('Achtergrond verbruiksprofielen'!$D$112-'Achtergrond verbruiksprofielen'!$C$112)/('Achtergrond verbruiksprofielen'!$D$110-'Achtergrond verbruiksprofielen'!$C$110)</f>
        <v>6.7953283282250546E-2</v>
      </c>
      <c r="J66" s="35">
        <f>'Achtergrond verbruiksprofielen'!$D$112</f>
        <v>7.1642283236671447E-2</v>
      </c>
      <c r="K66" s="35">
        <f>'Achtergrond verbruiksprofielen'!$D$112+(K50-'Achtergrond verbruiksprofielen'!$D$110)*('Achtergrond verbruiksprofielen'!$E$112-'Achtergrond verbruiksprofielen'!$D$112)/('Achtergrond verbruiksprofielen'!$E$110-'Achtergrond verbruiksprofielen'!$D$110)</f>
        <v>6.9128513521246271E-2</v>
      </c>
      <c r="L66" s="35">
        <f>'Achtergrond verbruiksprofielen'!$D$112+(L50-'Achtergrond verbruiksprofielen'!$D$110)*('Achtergrond verbruiksprofielen'!$E$112-'Achtergrond verbruiksprofielen'!$D$112)/('Achtergrond verbruiksprofielen'!$E$110-'Achtergrond verbruiksprofielen'!$D$110)</f>
        <v>6.6614743805821094E-2</v>
      </c>
      <c r="M66" s="35">
        <f>'Achtergrond verbruiksprofielen'!$D$112+(M50-'Achtergrond verbruiksprofielen'!$D$110)*('Achtergrond verbruiksprofielen'!$E$112-'Achtergrond verbruiksprofielen'!$D$112)/('Achtergrond verbruiksprofielen'!$E$110-'Achtergrond verbruiksprofielen'!$D$110)</f>
        <v>6.4100974090395918E-2</v>
      </c>
      <c r="N66" s="35">
        <f>'Achtergrond verbruiksprofielen'!$D$112+(N50-'Achtergrond verbruiksprofielen'!$D$110)*('Achtergrond verbruiksprofielen'!$E$112-'Achtergrond verbruiksprofielen'!$D$112)/('Achtergrond verbruiksprofielen'!$E$110-'Achtergrond verbruiksprofielen'!$D$110)</f>
        <v>6.1587204374970735E-2</v>
      </c>
      <c r="O66" s="35">
        <f>'Achtergrond verbruiksprofielen'!$E$112</f>
        <v>5.9073434659545558E-2</v>
      </c>
      <c r="P66" s="35">
        <f>'Achtergrond verbruiksprofielen'!$E$112+(P50-'Achtergrond verbruiksprofielen'!$E$110)*('Achtergrond verbruiksprofielen'!$F$112-'Achtergrond verbruiksprofielen'!$E$112)/('Achtergrond verbruiksprofielen'!$F$110-'Achtergrond verbruiksprofielen'!$E$110)</f>
        <v>5.879766983455878E-2</v>
      </c>
      <c r="Q66" s="35">
        <f>'Achtergrond verbruiksprofielen'!$E$112+(Q50-'Achtergrond verbruiksprofielen'!$E$110)*('Achtergrond verbruiksprofielen'!$F$112-'Achtergrond verbruiksprofielen'!$E$112)/('Achtergrond verbruiksprofielen'!$F$110-'Achtergrond verbruiksprofielen'!$E$110)</f>
        <v>5.8521905009572002E-2</v>
      </c>
      <c r="R66" s="35">
        <f>'Achtergrond verbruiksprofielen'!$E$112+(R50-'Achtergrond verbruiksprofielen'!$E$110)*('Achtergrond verbruiksprofielen'!$F$112-'Achtergrond verbruiksprofielen'!$E$112)/('Achtergrond verbruiksprofielen'!$F$110-'Achtergrond verbruiksprofielen'!$E$110)</f>
        <v>5.8246140184585217E-2</v>
      </c>
      <c r="S66" s="35">
        <f>'Achtergrond verbruiksprofielen'!$E$112+(S50-'Achtergrond verbruiksprofielen'!$E$110)*('Achtergrond verbruiksprofielen'!$F$112-'Achtergrond verbruiksprofielen'!$E$112)/('Achtergrond verbruiksprofielen'!$F$110-'Achtergrond verbruiksprofielen'!$E$110)</f>
        <v>5.7970375359598439E-2</v>
      </c>
      <c r="T66" s="35">
        <f>'Achtergrond verbruiksprofielen'!$F$112</f>
        <v>5.7694610534611661E-2</v>
      </c>
      <c r="U66" s="35">
        <f>'Achtergrond verbruiksprofielen'!$F$112+(U50-'Achtergrond verbruiksprofielen'!$F$110)*('Achtergrond verbruiksprofielen'!$G$112-'Achtergrond verbruiksprofielen'!$F$112)/('Achtergrond verbruiksprofielen'!$G$110-'Achtergrond verbruiksprofielen'!$F$110)</f>
        <v>5.8780528043377613E-2</v>
      </c>
      <c r="V66" s="35">
        <f>'Achtergrond verbruiksprofielen'!$F$112+(V50-'Achtergrond verbruiksprofielen'!$F$110)*('Achtergrond verbruiksprofielen'!$G$112-'Achtergrond verbruiksprofielen'!$F$112)/('Achtergrond verbruiksprofielen'!$G$110-'Achtergrond verbruiksprofielen'!$F$110)</f>
        <v>5.9866445552143564E-2</v>
      </c>
      <c r="W66" s="35">
        <f>'Achtergrond verbruiksprofielen'!$F$112+(W50-'Achtergrond verbruiksprofielen'!$F$110)*('Achtergrond verbruiksprofielen'!$G$112-'Achtergrond verbruiksprofielen'!$F$112)/('Achtergrond verbruiksprofielen'!$G$110-'Achtergrond verbruiksprofielen'!$F$110)</f>
        <v>6.0952363060909523E-2</v>
      </c>
      <c r="X66" s="35">
        <f>'Achtergrond verbruiksprofielen'!$F$112+(X50-'Achtergrond verbruiksprofielen'!$F$110)*('Achtergrond verbruiksprofielen'!$G$112-'Achtergrond verbruiksprofielen'!$F$112)/('Achtergrond verbruiksprofielen'!$G$110-'Achtergrond verbruiksprofielen'!$F$110)</f>
        <v>6.2038280569675475E-2</v>
      </c>
      <c r="Y66" s="35">
        <f>'Achtergrond verbruiksprofielen'!$G$112</f>
        <v>6.3124198078441426E-2</v>
      </c>
      <c r="Z66" s="35">
        <f>'Achtergrond verbruiksprofielen'!$G$112+(Z50-'Achtergrond verbruiksprofielen'!$G$110)*('Achtergrond verbruiksprofielen'!$H$112-'Achtergrond verbruiksprofielen'!$G$112)/('Achtergrond verbruiksprofielen'!$H$110-'Achtergrond verbruiksprofielen'!$G$110)</f>
        <v>6.1427626862539712E-2</v>
      </c>
      <c r="AA66" s="35">
        <f>'Achtergrond verbruiksprofielen'!$G$112+(AA50-'Achtergrond verbruiksprofielen'!$G$110)*('Achtergrond verbruiksprofielen'!$H$112-'Achtergrond verbruiksprofielen'!$G$112)/('Achtergrond verbruiksprofielen'!$H$110-'Achtergrond verbruiksprofielen'!$G$110)</f>
        <v>5.9731055646637998E-2</v>
      </c>
      <c r="AB66" s="35">
        <f>'Achtergrond verbruiksprofielen'!$G$112+(AB50-'Achtergrond verbruiksprofielen'!$G$110)*('Achtergrond verbruiksprofielen'!$H$112-'Achtergrond verbruiksprofielen'!$G$112)/('Achtergrond verbruiksprofielen'!$H$110-'Achtergrond verbruiksprofielen'!$G$110)</f>
        <v>5.8034484430736291E-2</v>
      </c>
      <c r="AC66" s="35">
        <f>'Achtergrond verbruiksprofielen'!$G$112+(AC50-'Achtergrond verbruiksprofielen'!$G$110)*('Achtergrond verbruiksprofielen'!$H$112-'Achtergrond verbruiksprofielen'!$G$112)/('Achtergrond verbruiksprofielen'!$H$110-'Achtergrond verbruiksprofielen'!$G$110)</f>
        <v>5.6337913214834577E-2</v>
      </c>
      <c r="AD66" s="35">
        <f>'Achtergrond verbruiksprofielen'!$H$112</f>
        <v>5.4641341998932863E-2</v>
      </c>
      <c r="AE66" s="35">
        <f>'Achtergrond verbruiksprofielen'!$H$112</f>
        <v>5.4641341998932863E-2</v>
      </c>
      <c r="AF66" s="35">
        <f>'Achtergrond verbruiksprofielen'!$H$112</f>
        <v>5.4641341998932863E-2</v>
      </c>
      <c r="AG66" s="35">
        <f>'Achtergrond verbruiksprofielen'!$H$112</f>
        <v>5.4641341998932863E-2</v>
      </c>
      <c r="AH66" s="35">
        <f>'Achtergrond verbruiksprofielen'!$H$112</f>
        <v>5.4641341998932863E-2</v>
      </c>
      <c r="AI66" s="60"/>
      <c r="AJ66" s="60"/>
      <c r="AK66" s="60"/>
    </row>
    <row r="67" spans="1:37" ht="15.6" x14ac:dyDescent="0.3">
      <c r="A67" s="11" t="s">
        <v>87</v>
      </c>
      <c r="B67" s="11"/>
      <c r="C67" s="33"/>
      <c r="D67" s="33" t="s">
        <v>88</v>
      </c>
      <c r="E67" s="361">
        <f>'Achtergrond verbruiksprofielen'!$C$113</f>
        <v>1460</v>
      </c>
      <c r="F67" s="361">
        <f>'Achtergrond verbruiksprofielen'!$C$113+(F50-'Achtergrond verbruiksprofielen'!$C$110)*('Achtergrond verbruiksprofielen'!$D$113-'Achtergrond verbruiksprofielen'!$C$113)/('Achtergrond verbruiksprofielen'!$D$110-'Achtergrond verbruiksprofielen'!$C$110)</f>
        <v>1460</v>
      </c>
      <c r="G67" s="361">
        <f>'Achtergrond verbruiksprofielen'!$C$113+(G50-'Achtergrond verbruiksprofielen'!$C$110)*('Achtergrond verbruiksprofielen'!$D$113-'Achtergrond verbruiksprofielen'!$C$113)/('Achtergrond verbruiksprofielen'!$D$110-'Achtergrond verbruiksprofielen'!$C$110)</f>
        <v>1460</v>
      </c>
      <c r="H67" s="361">
        <f>'Achtergrond verbruiksprofielen'!$C$113+(H50-'Achtergrond verbruiksprofielen'!$C$110)*('Achtergrond verbruiksprofielen'!$D$113-'Achtergrond verbruiksprofielen'!$C$113)/('Achtergrond verbruiksprofielen'!$D$110-'Achtergrond verbruiksprofielen'!$C$110)</f>
        <v>1460</v>
      </c>
      <c r="I67" s="361">
        <f>'Achtergrond verbruiksprofielen'!$C$113+(I50-'Achtergrond verbruiksprofielen'!$C$110)*('Achtergrond verbruiksprofielen'!$D$113-'Achtergrond verbruiksprofielen'!$C$113)/('Achtergrond verbruiksprofielen'!$D$110-'Achtergrond verbruiksprofielen'!$C$110)</f>
        <v>1460</v>
      </c>
      <c r="J67" s="361">
        <f>'Achtergrond verbruiksprofielen'!$D$113</f>
        <v>1460</v>
      </c>
      <c r="K67" s="361">
        <f>'Achtergrond verbruiksprofielen'!$D$113+(K50-'Achtergrond verbruiksprofielen'!$D$110)*('Achtergrond verbruiksprofielen'!$E$113-'Achtergrond verbruiksprofielen'!$D$113)/('Achtergrond verbruiksprofielen'!$E$110-'Achtergrond verbruiksprofielen'!$D$110)</f>
        <v>1460</v>
      </c>
      <c r="L67" s="361">
        <f>'Achtergrond verbruiksprofielen'!$D$113+(L50-'Achtergrond verbruiksprofielen'!$D$110)*('Achtergrond verbruiksprofielen'!$E$113-'Achtergrond verbruiksprofielen'!$D$113)/('Achtergrond verbruiksprofielen'!$E$110-'Achtergrond verbruiksprofielen'!$D$110)</f>
        <v>1460</v>
      </c>
      <c r="M67" s="361">
        <f>'Achtergrond verbruiksprofielen'!$D$113+(M50-'Achtergrond verbruiksprofielen'!$D$110)*('Achtergrond verbruiksprofielen'!$E$113-'Achtergrond verbruiksprofielen'!$D$113)/('Achtergrond verbruiksprofielen'!$E$110-'Achtergrond verbruiksprofielen'!$D$110)</f>
        <v>1460</v>
      </c>
      <c r="N67" s="361">
        <f>'Achtergrond verbruiksprofielen'!$D$113+(N50-'Achtergrond verbruiksprofielen'!$D$110)*('Achtergrond verbruiksprofielen'!$E$113-'Achtergrond verbruiksprofielen'!$D$113)/('Achtergrond verbruiksprofielen'!$E$110-'Achtergrond verbruiksprofielen'!$D$110)</f>
        <v>1460</v>
      </c>
      <c r="O67" s="361">
        <f>'Achtergrond verbruiksprofielen'!$E$113</f>
        <v>1460</v>
      </c>
      <c r="P67" s="361">
        <f>'Achtergrond verbruiksprofielen'!$E$113+(P50-'Achtergrond verbruiksprofielen'!$E$110)*('Achtergrond verbruiksprofielen'!$F$113-'Achtergrond verbruiksprofielen'!$E$113)/('Achtergrond verbruiksprofielen'!$F$110-'Achtergrond verbruiksprofielen'!$E$110)</f>
        <v>1460</v>
      </c>
      <c r="Q67" s="361">
        <f>'Achtergrond verbruiksprofielen'!$E$113+(Q50-'Achtergrond verbruiksprofielen'!$E$110)*('Achtergrond verbruiksprofielen'!$F$113-'Achtergrond verbruiksprofielen'!$E$113)/('Achtergrond verbruiksprofielen'!$F$110-'Achtergrond verbruiksprofielen'!$E$110)</f>
        <v>1460</v>
      </c>
      <c r="R67" s="361">
        <f>'Achtergrond verbruiksprofielen'!$E$113+(R50-'Achtergrond verbruiksprofielen'!$E$110)*('Achtergrond verbruiksprofielen'!$F$113-'Achtergrond verbruiksprofielen'!$E$113)/('Achtergrond verbruiksprofielen'!$F$110-'Achtergrond verbruiksprofielen'!$E$110)</f>
        <v>1460</v>
      </c>
      <c r="S67" s="361">
        <f>'Achtergrond verbruiksprofielen'!$E$113+(S50-'Achtergrond verbruiksprofielen'!$E$110)*('Achtergrond verbruiksprofielen'!$F$113-'Achtergrond verbruiksprofielen'!$E$113)/('Achtergrond verbruiksprofielen'!$F$110-'Achtergrond verbruiksprofielen'!$E$110)</f>
        <v>1460</v>
      </c>
      <c r="T67" s="361">
        <f>'Achtergrond verbruiksprofielen'!$F$113</f>
        <v>1460</v>
      </c>
      <c r="U67" s="361">
        <f>'Achtergrond verbruiksprofielen'!$F$113+(U50-'Achtergrond verbruiksprofielen'!$F$110)*('Achtergrond verbruiksprofielen'!$G$113-'Achtergrond verbruiksprofielen'!$F$113)/('Achtergrond verbruiksprofielen'!$G$110-'Achtergrond verbruiksprofielen'!$F$110)</f>
        <v>1460</v>
      </c>
      <c r="V67" s="361">
        <f>'Achtergrond verbruiksprofielen'!$F$113+(V50-'Achtergrond verbruiksprofielen'!$F$110)*('Achtergrond verbruiksprofielen'!$G$113-'Achtergrond verbruiksprofielen'!$F$113)/('Achtergrond verbruiksprofielen'!$G$110-'Achtergrond verbruiksprofielen'!$F$110)</f>
        <v>1460</v>
      </c>
      <c r="W67" s="361">
        <f>'Achtergrond verbruiksprofielen'!$F$113+(W50-'Achtergrond verbruiksprofielen'!$F$110)*('Achtergrond verbruiksprofielen'!$G$113-'Achtergrond verbruiksprofielen'!$F$113)/('Achtergrond verbruiksprofielen'!$G$110-'Achtergrond verbruiksprofielen'!$F$110)</f>
        <v>1460</v>
      </c>
      <c r="X67" s="361">
        <f>'Achtergrond verbruiksprofielen'!$F$113+(X50-'Achtergrond verbruiksprofielen'!$F$110)*('Achtergrond verbruiksprofielen'!$G$113-'Achtergrond verbruiksprofielen'!$F$113)/('Achtergrond verbruiksprofielen'!$G$110-'Achtergrond verbruiksprofielen'!$F$110)</f>
        <v>1460</v>
      </c>
      <c r="Y67" s="361">
        <f>'Achtergrond verbruiksprofielen'!$G$113</f>
        <v>1460</v>
      </c>
      <c r="Z67" s="361">
        <f>'Achtergrond verbruiksprofielen'!$G$113+(Z50-'Achtergrond verbruiksprofielen'!$G$110)*('Achtergrond verbruiksprofielen'!$H$113-'Achtergrond verbruiksprofielen'!$G$113)/('Achtergrond verbruiksprofielen'!$H$110-'Achtergrond verbruiksprofielen'!$G$110)</f>
        <v>1460</v>
      </c>
      <c r="AA67" s="361">
        <f>'Achtergrond verbruiksprofielen'!$G$113+(AA50-'Achtergrond verbruiksprofielen'!$G$110)*('Achtergrond verbruiksprofielen'!$H$113-'Achtergrond verbruiksprofielen'!$G$113)/('Achtergrond verbruiksprofielen'!$H$110-'Achtergrond verbruiksprofielen'!$G$110)</f>
        <v>1460</v>
      </c>
      <c r="AB67" s="361">
        <f>'Achtergrond verbruiksprofielen'!$G$113+(AB50-'Achtergrond verbruiksprofielen'!$G$110)*('Achtergrond verbruiksprofielen'!$H$113-'Achtergrond verbruiksprofielen'!$G$113)/('Achtergrond verbruiksprofielen'!$H$110-'Achtergrond verbruiksprofielen'!$G$110)</f>
        <v>1460</v>
      </c>
      <c r="AC67" s="361">
        <f>'Achtergrond verbruiksprofielen'!$G$113+(AC50-'Achtergrond verbruiksprofielen'!$G$110)*('Achtergrond verbruiksprofielen'!$H$113-'Achtergrond verbruiksprofielen'!$G$113)/('Achtergrond verbruiksprofielen'!$H$110-'Achtergrond verbruiksprofielen'!$G$110)</f>
        <v>1460</v>
      </c>
      <c r="AD67" s="361">
        <f>'Achtergrond verbruiksprofielen'!$H$113</f>
        <v>1460</v>
      </c>
      <c r="AE67" s="361">
        <f>'Achtergrond verbruiksprofielen'!$H$113</f>
        <v>1460</v>
      </c>
      <c r="AF67" s="361">
        <f>'Achtergrond verbruiksprofielen'!$H$113</f>
        <v>1460</v>
      </c>
      <c r="AG67" s="361">
        <f>'Achtergrond verbruiksprofielen'!$H$113</f>
        <v>1460</v>
      </c>
      <c r="AH67" s="361">
        <f>'Achtergrond verbruiksprofielen'!$H$113</f>
        <v>1460</v>
      </c>
      <c r="AI67" s="60"/>
      <c r="AJ67" s="60"/>
      <c r="AK67" s="60"/>
    </row>
    <row r="68" spans="1:37" x14ac:dyDescent="0.3">
      <c r="A68" s="60"/>
      <c r="B68" s="60"/>
      <c r="C68" s="60"/>
      <c r="D68" s="60"/>
      <c r="E68" s="341"/>
      <c r="F68" s="341"/>
      <c r="G68" s="341"/>
      <c r="H68" s="341"/>
      <c r="I68" s="341"/>
      <c r="J68" s="341"/>
      <c r="K68" s="341"/>
      <c r="L68" s="341"/>
      <c r="M68" s="341"/>
      <c r="N68" s="341"/>
      <c r="O68" s="341"/>
      <c r="P68" s="341"/>
      <c r="Q68" s="341"/>
      <c r="R68" s="341"/>
      <c r="S68" s="341"/>
      <c r="T68" s="341"/>
      <c r="U68" s="341"/>
      <c r="V68" s="341"/>
      <c r="W68" s="341"/>
      <c r="X68" s="341"/>
      <c r="Y68" s="341"/>
      <c r="Z68" s="341"/>
      <c r="AA68" s="341"/>
      <c r="AB68" s="341"/>
      <c r="AC68" s="341"/>
      <c r="AD68" s="341"/>
      <c r="AE68" s="341"/>
      <c r="AF68" s="341"/>
      <c r="AG68" s="341"/>
      <c r="AH68" s="341"/>
      <c r="AI68" s="60"/>
      <c r="AJ68" s="60"/>
      <c r="AK68" s="60"/>
    </row>
    <row r="69" spans="1:37" ht="15" thickBot="1" x14ac:dyDescent="0.35">
      <c r="A69" s="222"/>
      <c r="B69" s="222"/>
      <c r="C69" s="222"/>
      <c r="D69" s="222"/>
      <c r="E69" s="342"/>
      <c r="F69" s="342"/>
      <c r="G69" s="342"/>
      <c r="H69" s="342"/>
      <c r="I69" s="342"/>
      <c r="J69" s="342"/>
      <c r="K69" s="342"/>
      <c r="L69" s="342"/>
      <c r="M69" s="342"/>
      <c r="N69" s="342"/>
      <c r="O69" s="342"/>
      <c r="P69" s="342"/>
      <c r="Q69" s="342"/>
      <c r="R69" s="342"/>
      <c r="S69" s="342"/>
      <c r="T69" s="342"/>
      <c r="U69" s="342"/>
      <c r="V69" s="342"/>
      <c r="W69" s="342"/>
      <c r="X69" s="342"/>
      <c r="Y69" s="342"/>
      <c r="Z69" s="342"/>
      <c r="AA69" s="342"/>
      <c r="AB69" s="342"/>
      <c r="AC69" s="342"/>
      <c r="AD69" s="342"/>
      <c r="AE69" s="342"/>
      <c r="AF69" s="342"/>
      <c r="AG69" s="342"/>
      <c r="AH69" s="342"/>
      <c r="AI69" s="222"/>
      <c r="AJ69" s="60"/>
      <c r="AK69" s="60"/>
    </row>
    <row r="70" spans="1:37" x14ac:dyDescent="0.3">
      <c r="A70" s="60"/>
      <c r="B70" s="60"/>
      <c r="C70" s="60"/>
      <c r="D70" s="60"/>
      <c r="E70" s="341"/>
      <c r="F70" s="341"/>
      <c r="G70" s="341"/>
      <c r="H70" s="341"/>
      <c r="I70" s="341"/>
      <c r="J70" s="341"/>
      <c r="K70" s="341"/>
      <c r="L70" s="341"/>
      <c r="M70" s="341"/>
      <c r="N70" s="341"/>
      <c r="O70" s="341"/>
      <c r="P70" s="341"/>
      <c r="Q70" s="341"/>
      <c r="R70" s="341"/>
      <c r="S70" s="341"/>
      <c r="T70" s="341"/>
      <c r="U70" s="341"/>
      <c r="V70" s="341"/>
      <c r="W70" s="341"/>
      <c r="X70" s="341"/>
      <c r="Y70" s="341"/>
      <c r="Z70" s="341"/>
      <c r="AA70" s="341"/>
      <c r="AB70" s="341"/>
      <c r="AC70" s="341"/>
      <c r="AD70" s="341"/>
      <c r="AE70" s="341"/>
      <c r="AF70" s="341"/>
      <c r="AG70" s="341"/>
      <c r="AH70" s="341"/>
      <c r="AI70" s="60"/>
      <c r="AJ70" s="60"/>
      <c r="AK70" s="60"/>
    </row>
    <row r="71" spans="1:37" ht="21" x14ac:dyDescent="0.4">
      <c r="A71" s="221" t="str">
        <f>'Dropdown lists'!H6</f>
        <v>50% FLEX DAILY</v>
      </c>
      <c r="B71" s="66"/>
      <c r="C71" s="11"/>
      <c r="D71" s="11"/>
      <c r="E71" s="341"/>
      <c r="F71" s="341"/>
      <c r="G71" s="341"/>
      <c r="H71" s="341"/>
      <c r="I71" s="341"/>
      <c r="J71" s="341"/>
      <c r="K71" s="341"/>
      <c r="L71" s="341"/>
      <c r="M71" s="341"/>
      <c r="N71" s="341"/>
      <c r="O71" s="341"/>
      <c r="P71" s="341"/>
      <c r="Q71" s="341"/>
      <c r="R71" s="341"/>
      <c r="S71" s="341"/>
      <c r="T71" s="341"/>
      <c r="U71" s="341"/>
      <c r="V71" s="341"/>
      <c r="W71" s="341"/>
      <c r="X71" s="341"/>
      <c r="Y71" s="341"/>
      <c r="Z71" s="341"/>
      <c r="AA71" s="341"/>
      <c r="AB71" s="341"/>
      <c r="AC71" s="341"/>
      <c r="AD71" s="341"/>
      <c r="AE71" s="341"/>
      <c r="AF71" s="341"/>
      <c r="AG71" s="341"/>
      <c r="AH71" s="341"/>
      <c r="AI71" s="60"/>
      <c r="AJ71" s="60"/>
      <c r="AK71" s="60"/>
    </row>
    <row r="72" spans="1:37" ht="15.6" x14ac:dyDescent="0.3">
      <c r="A72" s="11"/>
      <c r="B72" s="11"/>
      <c r="C72" s="11"/>
      <c r="D72" s="11"/>
      <c r="E72" s="341">
        <v>2025</v>
      </c>
      <c r="F72" s="341">
        <v>2026</v>
      </c>
      <c r="G72" s="341">
        <v>2027</v>
      </c>
      <c r="H72" s="341">
        <v>2028</v>
      </c>
      <c r="I72" s="341">
        <v>2029</v>
      </c>
      <c r="J72" s="341">
        <v>2030</v>
      </c>
      <c r="K72" s="341">
        <v>2031</v>
      </c>
      <c r="L72" s="341">
        <v>2032</v>
      </c>
      <c r="M72" s="341">
        <v>2033</v>
      </c>
      <c r="N72" s="341">
        <v>2034</v>
      </c>
      <c r="O72" s="341">
        <v>2035</v>
      </c>
      <c r="P72" s="341">
        <v>2036</v>
      </c>
      <c r="Q72" s="341">
        <v>2037</v>
      </c>
      <c r="R72" s="341">
        <v>2038</v>
      </c>
      <c r="S72" s="341">
        <v>2039</v>
      </c>
      <c r="T72" s="341">
        <v>2040</v>
      </c>
      <c r="U72" s="341">
        <v>2041</v>
      </c>
      <c r="V72" s="341">
        <v>2042</v>
      </c>
      <c r="W72" s="341">
        <v>2043</v>
      </c>
      <c r="X72" s="341">
        <v>2044</v>
      </c>
      <c r="Y72" s="341">
        <v>2045</v>
      </c>
      <c r="Z72" s="341">
        <v>2046</v>
      </c>
      <c r="AA72" s="341">
        <v>2047</v>
      </c>
      <c r="AB72" s="341">
        <v>2048</v>
      </c>
      <c r="AC72" s="341">
        <v>2049</v>
      </c>
      <c r="AD72" s="341">
        <v>2050</v>
      </c>
      <c r="AE72" s="341">
        <v>2051</v>
      </c>
      <c r="AF72" s="341">
        <v>2052</v>
      </c>
      <c r="AG72" s="341">
        <v>2053</v>
      </c>
      <c r="AH72" s="341">
        <v>2054</v>
      </c>
      <c r="AI72" s="60"/>
      <c r="AJ72" s="60"/>
      <c r="AK72" s="60"/>
    </row>
    <row r="73" spans="1:37" ht="15.6" x14ac:dyDescent="0.3">
      <c r="A73" s="66" t="s">
        <v>80</v>
      </c>
      <c r="B73" s="11"/>
      <c r="C73" s="58"/>
      <c r="D73" s="58" t="s">
        <v>81</v>
      </c>
      <c r="E73" s="58">
        <v>1</v>
      </c>
      <c r="F73" s="58">
        <v>2</v>
      </c>
      <c r="G73" s="58">
        <v>3</v>
      </c>
      <c r="H73" s="58">
        <v>4</v>
      </c>
      <c r="I73" s="58">
        <v>5</v>
      </c>
      <c r="J73" s="58">
        <v>6</v>
      </c>
      <c r="K73" s="58">
        <v>7</v>
      </c>
      <c r="L73" s="58">
        <v>8</v>
      </c>
      <c r="M73" s="58">
        <v>9</v>
      </c>
      <c r="N73" s="58">
        <v>10</v>
      </c>
      <c r="O73" s="58">
        <v>11</v>
      </c>
      <c r="P73" s="58">
        <v>12</v>
      </c>
      <c r="Q73" s="58">
        <v>13</v>
      </c>
      <c r="R73" s="58">
        <v>14</v>
      </c>
      <c r="S73" s="58">
        <v>15</v>
      </c>
      <c r="T73" s="58">
        <v>16</v>
      </c>
      <c r="U73" s="58">
        <v>17</v>
      </c>
      <c r="V73" s="58">
        <v>18</v>
      </c>
      <c r="W73" s="58">
        <v>19</v>
      </c>
      <c r="X73" s="58">
        <v>20</v>
      </c>
      <c r="Y73" s="58">
        <v>21</v>
      </c>
      <c r="Z73" s="58">
        <v>22</v>
      </c>
      <c r="AA73" s="58">
        <v>23</v>
      </c>
      <c r="AB73" s="58">
        <v>24</v>
      </c>
      <c r="AC73" s="58">
        <v>25</v>
      </c>
      <c r="AD73" s="58">
        <v>26</v>
      </c>
      <c r="AE73" s="58">
        <v>27</v>
      </c>
      <c r="AF73" s="58">
        <v>28</v>
      </c>
      <c r="AG73" s="58">
        <v>29</v>
      </c>
      <c r="AH73" s="58">
        <v>30</v>
      </c>
      <c r="AI73" s="60"/>
      <c r="AJ73" s="60"/>
      <c r="AK73" s="60"/>
    </row>
    <row r="74" spans="1:37" ht="18" x14ac:dyDescent="0.3">
      <c r="A74" s="11" t="s">
        <v>82</v>
      </c>
      <c r="B74" s="11"/>
      <c r="C74" s="33"/>
      <c r="D74" s="33" t="s">
        <v>90</v>
      </c>
      <c r="E74" s="50">
        <f>'Achtergrond verbruiksprofielen'!$C$94</f>
        <v>3.2000000000000001E-2</v>
      </c>
      <c r="F74" s="50">
        <f>'Achtergrond verbruiksprofielen'!$C$94</f>
        <v>3.2000000000000001E-2</v>
      </c>
      <c r="G74" s="50">
        <f>'Achtergrond verbruiksprofielen'!$C$94</f>
        <v>3.2000000000000001E-2</v>
      </c>
      <c r="H74" s="50">
        <f>'Achtergrond verbruiksprofielen'!$C$94</f>
        <v>3.2000000000000001E-2</v>
      </c>
      <c r="I74" s="50">
        <f>'Achtergrond verbruiksprofielen'!$C$94</f>
        <v>3.2000000000000001E-2</v>
      </c>
      <c r="J74" s="50">
        <f>'Achtergrond verbruiksprofielen'!$C$94</f>
        <v>3.2000000000000001E-2</v>
      </c>
      <c r="K74" s="50">
        <f>'Achtergrond verbruiksprofielen'!$C$94</f>
        <v>3.2000000000000001E-2</v>
      </c>
      <c r="L74" s="50">
        <f>'Achtergrond verbruiksprofielen'!$C$94</f>
        <v>3.2000000000000001E-2</v>
      </c>
      <c r="M74" s="50">
        <f>'Achtergrond verbruiksprofielen'!$C$94</f>
        <v>3.2000000000000001E-2</v>
      </c>
      <c r="N74" s="50">
        <f>'Achtergrond verbruiksprofielen'!$C$94</f>
        <v>3.2000000000000001E-2</v>
      </c>
      <c r="O74" s="50">
        <f>'Achtergrond verbruiksprofielen'!$C$94</f>
        <v>3.2000000000000001E-2</v>
      </c>
      <c r="P74" s="50">
        <f>'Achtergrond verbruiksprofielen'!$C$94</f>
        <v>3.2000000000000001E-2</v>
      </c>
      <c r="Q74" s="50">
        <f>'Achtergrond verbruiksprofielen'!$C$94</f>
        <v>3.2000000000000001E-2</v>
      </c>
      <c r="R74" s="50">
        <f>'Achtergrond verbruiksprofielen'!$C$94</f>
        <v>3.2000000000000001E-2</v>
      </c>
      <c r="S74" s="50">
        <f>'Achtergrond verbruiksprofielen'!$C$94</f>
        <v>3.2000000000000001E-2</v>
      </c>
      <c r="T74" s="50">
        <f>'Achtergrond verbruiksprofielen'!$C$94</f>
        <v>3.2000000000000001E-2</v>
      </c>
      <c r="U74" s="50">
        <f>'Achtergrond verbruiksprofielen'!$C$94</f>
        <v>3.2000000000000001E-2</v>
      </c>
      <c r="V74" s="50">
        <f>'Achtergrond verbruiksprofielen'!$C$94</f>
        <v>3.2000000000000001E-2</v>
      </c>
      <c r="W74" s="50">
        <f>'Achtergrond verbruiksprofielen'!$C$94</f>
        <v>3.2000000000000001E-2</v>
      </c>
      <c r="X74" s="50">
        <f>'Achtergrond verbruiksprofielen'!$C$94</f>
        <v>3.2000000000000001E-2</v>
      </c>
      <c r="Y74" s="50">
        <f>'Achtergrond verbruiksprofielen'!$C$94</f>
        <v>3.2000000000000001E-2</v>
      </c>
      <c r="Z74" s="50">
        <f>'Achtergrond verbruiksprofielen'!$C$94</f>
        <v>3.2000000000000001E-2</v>
      </c>
      <c r="AA74" s="50">
        <f>'Achtergrond verbruiksprofielen'!$C$94</f>
        <v>3.2000000000000001E-2</v>
      </c>
      <c r="AB74" s="50">
        <f>'Achtergrond verbruiksprofielen'!$C$94</f>
        <v>3.2000000000000001E-2</v>
      </c>
      <c r="AC74" s="50">
        <f>'Achtergrond verbruiksprofielen'!$C$94</f>
        <v>3.2000000000000001E-2</v>
      </c>
      <c r="AD74" s="50">
        <f>'Achtergrond verbruiksprofielen'!$C$94</f>
        <v>3.2000000000000001E-2</v>
      </c>
      <c r="AE74" s="50">
        <f>'Achtergrond verbruiksprofielen'!$C$94</f>
        <v>3.2000000000000001E-2</v>
      </c>
      <c r="AF74" s="50">
        <f>'Achtergrond verbruiksprofielen'!$C$94</f>
        <v>3.2000000000000001E-2</v>
      </c>
      <c r="AG74" s="50">
        <f>'Achtergrond verbruiksprofielen'!$C$94</f>
        <v>3.2000000000000001E-2</v>
      </c>
      <c r="AH74" s="50">
        <f>'Achtergrond verbruiksprofielen'!$C$94</f>
        <v>3.2000000000000001E-2</v>
      </c>
      <c r="AI74" s="60"/>
      <c r="AJ74" s="60"/>
      <c r="AK74" s="60"/>
    </row>
    <row r="75" spans="1:37" ht="18" x14ac:dyDescent="0.4">
      <c r="A75" s="11" t="s">
        <v>178</v>
      </c>
      <c r="B75" s="11"/>
      <c r="C75" s="33"/>
      <c r="D75" s="223" t="s">
        <v>167</v>
      </c>
      <c r="E75" s="35">
        <v>0</v>
      </c>
      <c r="F75" s="35">
        <v>0</v>
      </c>
      <c r="G75" s="35">
        <v>0</v>
      </c>
      <c r="H75" s="35">
        <f>_xlfn.FORECAST.LINEAR(H$6,'Achtergrond verbruiksprofielen'!$C$10:$D$10,'Achtergrond verbruiksprofielen'!$C$8:$D$8)</f>
        <v>1.3999999999999346E-2</v>
      </c>
      <c r="I75" s="35">
        <f>_xlfn.FORECAST.LINEAR(I$6,'Achtergrond verbruiksprofielen'!$C$10:$D$10,'Achtergrond verbruiksprofielen'!$C$8:$D$8)</f>
        <v>1.7833333333332924E-2</v>
      </c>
      <c r="J75" s="35">
        <f>_xlfn.FORECAST.LINEAR(J$6,'Achtergrond verbruiksprofielen'!$C$10:$D$10,'Achtergrond verbruiksprofielen'!$C$8:$D$8)</f>
        <v>2.1666666666666501E-2</v>
      </c>
      <c r="K75" s="35">
        <f>_xlfn.FORECAST.LINEAR(K$6,'Achtergrond verbruiksprofielen'!$C$10:$D$10,'Achtergrond verbruiksprofielen'!$C$8:$D$8)</f>
        <v>2.5500000000000078E-2</v>
      </c>
      <c r="L75" s="35">
        <f>_xlfn.FORECAST.LINEAR(L$6,'Achtergrond verbruiksprofielen'!$C$10:$D$10,'Achtergrond verbruiksprofielen'!$C$8:$D$8)</f>
        <v>2.9333333333332767E-2</v>
      </c>
      <c r="M75" s="35">
        <f>_xlfn.FORECAST.LINEAR(M$6,'Achtergrond verbruiksprofielen'!$C$10:$D$10,'Achtergrond verbruiksprofielen'!$C$8:$D$8)</f>
        <v>3.3166666666666345E-2</v>
      </c>
      <c r="N75" s="35">
        <f>_xlfn.FORECAST.LINEAR(N$6,'Achtergrond verbruiksprofielen'!$C$10:$D$10,'Achtergrond verbruiksprofielen'!$C$8:$D$8)</f>
        <v>3.6999999999999922E-2</v>
      </c>
      <c r="O75" s="35">
        <f>_xlfn.FORECAST.LINEAR(O$6,'Achtergrond verbruiksprofielen'!$C$10:$D$10,'Achtergrond verbruiksprofielen'!$C$8:$D$8)</f>
        <v>4.0833333333333499E-2</v>
      </c>
      <c r="P75" s="35">
        <f>_xlfn.FORECAST.LINEAR(P$6,'Achtergrond verbruiksprofielen'!$C$10:$D$10,'Achtergrond verbruiksprofielen'!$C$8:$D$8)</f>
        <v>4.4666666666666188E-2</v>
      </c>
      <c r="Q75" s="35">
        <f>_xlfn.FORECAST.LINEAR(Q$6,'Achtergrond verbruiksprofielen'!$C$10:$D$10,'Achtergrond verbruiksprofielen'!$C$8:$D$8)</f>
        <v>4.8499999999999766E-2</v>
      </c>
      <c r="R75" s="35">
        <f>_xlfn.FORECAST.LINEAR(R$6,'Achtergrond verbruiksprofielen'!$C$10:$D$10,'Achtergrond verbruiksprofielen'!$C$8:$D$8)</f>
        <v>5.2333333333333343E-2</v>
      </c>
      <c r="S75" s="35">
        <f>_xlfn.FORECAST.LINEAR(S$6,'Achtergrond verbruiksprofielen'!$C$10:$D$10,'Achtergrond verbruiksprofielen'!$C$8:$D$8)</f>
        <v>5.6166666666666032E-2</v>
      </c>
      <c r="T75" s="35">
        <f>_xlfn.FORECAST.LINEAR(T$6,'Achtergrond verbruiksprofielen'!$C$10:$D$10,'Achtergrond verbruiksprofielen'!$C$8:$D$8)</f>
        <v>5.9999999999999609E-2</v>
      </c>
      <c r="U75" s="35">
        <f>_xlfn.FORECAST.LINEAR(U$6,'Achtergrond verbruiksprofielen'!$C$10:$D$10,'Achtergrond verbruiksprofielen'!$C$8:$D$8)</f>
        <v>6.3833333333333186E-2</v>
      </c>
      <c r="V75" s="35">
        <f>_xlfn.FORECAST.LINEAR(V$6,'Achtergrond verbruiksprofielen'!$C$10:$D$10,'Achtergrond verbruiksprofielen'!$C$8:$D$8)</f>
        <v>6.7666666666666764E-2</v>
      </c>
      <c r="W75" s="35">
        <f>_xlfn.FORECAST.LINEAR(W$6,'Achtergrond verbruiksprofielen'!$C$10:$D$10,'Achtergrond verbruiksprofielen'!$C$8:$D$8)</f>
        <v>7.1499999999999453E-2</v>
      </c>
      <c r="X75" s="35">
        <f>_xlfn.FORECAST.LINEAR(X$6,'Achtergrond verbruiksprofielen'!$C$10:$D$10,'Achtergrond verbruiksprofielen'!$C$8:$D$8)</f>
        <v>7.533333333333303E-2</v>
      </c>
      <c r="Y75" s="35">
        <f>_xlfn.FORECAST.LINEAR(Y$6,'Achtergrond verbruiksprofielen'!$C$10:$D$10,'Achtergrond verbruiksprofielen'!$C$8:$D$8)</f>
        <v>7.9166666666666607E-2</v>
      </c>
      <c r="Z75" s="35">
        <f>_xlfn.FORECAST.LINEAR(Z$6,'Achtergrond verbruiksprofielen'!$C$10:$D$10,'Achtergrond verbruiksprofielen'!$C$8:$D$8)</f>
        <v>8.3000000000000185E-2</v>
      </c>
      <c r="AA75" s="35">
        <f>_xlfn.FORECAST.LINEAR(AA$6,'Achtergrond verbruiksprofielen'!$C$10:$D$10,'Achtergrond verbruiksprofielen'!$C$8:$D$8)</f>
        <v>8.6833333333332874E-2</v>
      </c>
      <c r="AB75" s="35">
        <f>_xlfn.FORECAST.LINEAR(AB$6,'Achtergrond verbruiksprofielen'!$C$10:$D$10,'Achtergrond verbruiksprofielen'!$C$8:$D$8)</f>
        <v>9.0666666666666451E-2</v>
      </c>
      <c r="AC75" s="35">
        <f>_xlfn.FORECAST.LINEAR(AC$6,'Achtergrond verbruiksprofielen'!$C$10:$D$10,'Achtergrond verbruiksprofielen'!$C$8:$D$8)</f>
        <v>9.4500000000000028E-2</v>
      </c>
      <c r="AD75" s="35">
        <f>'Achtergrond verbruiksprofielen'!$D$10</f>
        <v>0.06</v>
      </c>
      <c r="AE75" s="35">
        <f>'Achtergrond verbruiksprofielen'!$D$10</f>
        <v>0.06</v>
      </c>
      <c r="AF75" s="35">
        <f>'Achtergrond verbruiksprofielen'!$D$10</f>
        <v>0.06</v>
      </c>
      <c r="AG75" s="35">
        <f>'Achtergrond verbruiksprofielen'!$D$10</f>
        <v>0.06</v>
      </c>
      <c r="AH75" s="35">
        <f>'Achtergrond verbruiksprofielen'!$D$10</f>
        <v>0.06</v>
      </c>
      <c r="AI75" s="60"/>
      <c r="AJ75" s="60"/>
      <c r="AK75" s="60"/>
    </row>
    <row r="76" spans="1:37" ht="18" x14ac:dyDescent="0.3">
      <c r="A76" s="11" t="s">
        <v>86</v>
      </c>
      <c r="B76" s="11"/>
      <c r="C76" s="33"/>
      <c r="D76" s="33" t="s">
        <v>62</v>
      </c>
      <c r="E76" s="35">
        <f>'Achtergrond verbruiksprofielen'!$C$29</f>
        <v>8.6197488989362164E-2</v>
      </c>
      <c r="F76" s="35">
        <f>'Achtergrond verbruiksprofielen'!$C$29+(F72-'Achtergrond verbruiksprofielen'!$C$27)*('Achtergrond verbruiksprofielen'!$D$29-'Achtergrond verbruiksprofielen'!$C$29)/('Achtergrond verbruiksprofielen'!$D$27-'Achtergrond verbruiksprofielen'!$C$27)</f>
        <v>8.7665318269251363E-2</v>
      </c>
      <c r="G76" s="35">
        <f>'Achtergrond verbruiksprofielen'!$C$29+(G72-'Achtergrond verbruiksprofielen'!$C$27)*('Achtergrond verbruiksprofielen'!$D$29-'Achtergrond verbruiksprofielen'!$C$29)/('Achtergrond verbruiksprofielen'!$D$27-'Achtergrond verbruiksprofielen'!$C$27)</f>
        <v>8.9133147549140576E-2</v>
      </c>
      <c r="H76" s="35">
        <f>'Achtergrond verbruiksprofielen'!$C$29+(H72-'Achtergrond verbruiksprofielen'!$C$27)*('Achtergrond verbruiksprofielen'!$D$29-'Achtergrond verbruiksprofielen'!$C$29)/('Achtergrond verbruiksprofielen'!$D$27-'Achtergrond verbruiksprofielen'!$C$27)</f>
        <v>9.0600976829029775E-2</v>
      </c>
      <c r="I76" s="35">
        <f>'Achtergrond verbruiksprofielen'!$C$29+(I72-'Achtergrond verbruiksprofielen'!$C$27)*('Achtergrond verbruiksprofielen'!$D$29-'Achtergrond verbruiksprofielen'!$C$29)/('Achtergrond verbruiksprofielen'!$D$27-'Achtergrond verbruiksprofielen'!$C$27)</f>
        <v>9.2068806108918988E-2</v>
      </c>
      <c r="J76" s="35">
        <f>'Achtergrond verbruiksprofielen'!$D$29</f>
        <v>9.3536635388808187E-2</v>
      </c>
      <c r="K76" s="35">
        <f>'Achtergrond verbruiksprofielen'!$D$29+(K72-'Achtergrond verbruiksprofielen'!$D$27)*('Achtergrond verbruiksprofielen'!$E$29-'Achtergrond verbruiksprofielen'!$D$29)/('Achtergrond verbruiksprofielen'!$E$27-'Achtergrond verbruiksprofielen'!$D$27)</f>
        <v>9.345965579722304E-2</v>
      </c>
      <c r="L76" s="35">
        <f>'Achtergrond verbruiksprofielen'!$D$29+(L72-'Achtergrond verbruiksprofielen'!$D$27)*('Achtergrond verbruiksprofielen'!$E$29-'Achtergrond verbruiksprofielen'!$D$29)/('Achtergrond verbruiksprofielen'!$E$27-'Achtergrond verbruiksprofielen'!$D$27)</f>
        <v>9.3382676205637893E-2</v>
      </c>
      <c r="M76" s="35">
        <f>'Achtergrond verbruiksprofielen'!$D$29+(M72-'Achtergrond verbruiksprofielen'!$D$27)*('Achtergrond verbruiksprofielen'!$E$29-'Achtergrond verbruiksprofielen'!$D$29)/('Achtergrond verbruiksprofielen'!$E$27-'Achtergrond verbruiksprofielen'!$D$27)</f>
        <v>9.330569661405276E-2</v>
      </c>
      <c r="N76" s="35">
        <f>'Achtergrond verbruiksprofielen'!$D$29+(N72-'Achtergrond verbruiksprofielen'!$D$27)*('Achtergrond verbruiksprofielen'!$E$29-'Achtergrond verbruiksprofielen'!$D$29)/('Achtergrond verbruiksprofielen'!$E$27-'Achtergrond verbruiksprofielen'!$D$27)</f>
        <v>9.3228717022467614E-2</v>
      </c>
      <c r="O76" s="35">
        <f>'Achtergrond verbruiksprofielen'!$E$29</f>
        <v>9.3151737430882467E-2</v>
      </c>
      <c r="P76" s="35">
        <f>'Achtergrond verbruiksprofielen'!$E$29+(P72-'Achtergrond verbruiksprofielen'!$E$27)*('Achtergrond verbruiksprofielen'!$F$29-'Achtergrond verbruiksprofielen'!$E$29)/('Achtergrond verbruiksprofielen'!$F$27-'Achtergrond verbruiksprofielen'!$E$27)</f>
        <v>9.0943417850959787E-2</v>
      </c>
      <c r="Q76" s="35">
        <f>'Achtergrond verbruiksprofielen'!$E$29+(Q72-'Achtergrond verbruiksprofielen'!$E$27)*('Achtergrond verbruiksprofielen'!$F$29-'Achtergrond verbruiksprofielen'!$E$29)/('Achtergrond verbruiksprofielen'!$F$27-'Achtergrond verbruiksprofielen'!$E$27)</f>
        <v>8.8735098271037094E-2</v>
      </c>
      <c r="R76" s="35">
        <f>'Achtergrond verbruiksprofielen'!$E$29+(R72-'Achtergrond verbruiksprofielen'!$E$27)*('Achtergrond verbruiksprofielen'!$F$29-'Achtergrond verbruiksprofielen'!$E$29)/('Achtergrond verbruiksprofielen'!$F$27-'Achtergrond verbruiksprofielen'!$E$27)</f>
        <v>8.6526778691114414E-2</v>
      </c>
      <c r="S76" s="35">
        <f>'Achtergrond verbruiksprofielen'!$E$29+(S72-'Achtergrond verbruiksprofielen'!$E$27)*('Achtergrond verbruiksprofielen'!$F$29-'Achtergrond verbruiksprofielen'!$E$29)/('Achtergrond verbruiksprofielen'!$F$27-'Achtergrond verbruiksprofielen'!$E$27)</f>
        <v>8.4318459111191721E-2</v>
      </c>
      <c r="T76" s="35">
        <f>'Achtergrond verbruiksprofielen'!$F$29</f>
        <v>8.2110139531269041E-2</v>
      </c>
      <c r="U76" s="35">
        <f>'Achtergrond verbruiksprofielen'!$F$29+(U72-'Achtergrond verbruiksprofielen'!$F$27)*('Achtergrond verbruiksprofielen'!$G$29-'Achtergrond verbruiksprofielen'!$F$29)/('Achtergrond verbruiksprofielen'!$G$27-'Achtergrond verbruiksprofielen'!$F$27)</f>
        <v>8.0705368110142589E-2</v>
      </c>
      <c r="V76" s="35">
        <f>'Achtergrond verbruiksprofielen'!$F$29+(V72-'Achtergrond verbruiksprofielen'!$F$27)*('Achtergrond verbruiksprofielen'!$G$29-'Achtergrond verbruiksprofielen'!$F$29)/('Achtergrond verbruiksprofielen'!$G$27-'Achtergrond verbruiksprofielen'!$F$27)</f>
        <v>7.9300596689016137E-2</v>
      </c>
      <c r="W76" s="35">
        <f>'Achtergrond verbruiksprofielen'!$F$29+(W72-'Achtergrond verbruiksprofielen'!$F$27)*('Achtergrond verbruiksprofielen'!$G$29-'Achtergrond verbruiksprofielen'!$F$29)/('Achtergrond verbruiksprofielen'!$G$27-'Achtergrond verbruiksprofielen'!$F$27)</f>
        <v>7.7895825267889685E-2</v>
      </c>
      <c r="X76" s="35">
        <f>'Achtergrond verbruiksprofielen'!$F$29+(X72-'Achtergrond verbruiksprofielen'!$F$27)*('Achtergrond verbruiksprofielen'!$G$29-'Achtergrond verbruiksprofielen'!$F$29)/('Achtergrond verbruiksprofielen'!$G$27-'Achtergrond verbruiksprofielen'!$F$27)</f>
        <v>7.6491053846763232E-2</v>
      </c>
      <c r="Y76" s="35">
        <f>'Achtergrond verbruiksprofielen'!$G$29</f>
        <v>7.508628242563678E-2</v>
      </c>
      <c r="Z76" s="35">
        <f>'Achtergrond verbruiksprofielen'!$G$29+(Z72-'Achtergrond verbruiksprofielen'!$G$27)*('Achtergrond verbruiksprofielen'!$H$29-'Achtergrond verbruiksprofielen'!$G$29)/('Achtergrond verbruiksprofielen'!$H$27-'Achtergrond verbruiksprofielen'!$G$27)</f>
        <v>7.6861473981872069E-2</v>
      </c>
      <c r="AA76" s="35">
        <f>'Achtergrond verbruiksprofielen'!$G$29+(AA72-'Achtergrond verbruiksprofielen'!$G$27)*('Achtergrond verbruiksprofielen'!$H$29-'Achtergrond verbruiksprofielen'!$G$29)/('Achtergrond verbruiksprofielen'!$H$27-'Achtergrond verbruiksprofielen'!$G$27)</f>
        <v>7.8636665538107359E-2</v>
      </c>
      <c r="AB76" s="35">
        <f>'Achtergrond verbruiksprofielen'!$G$29+(AB72-'Achtergrond verbruiksprofielen'!$G$27)*('Achtergrond verbruiksprofielen'!$H$29-'Achtergrond verbruiksprofielen'!$G$29)/('Achtergrond verbruiksprofielen'!$H$27-'Achtergrond verbruiksprofielen'!$G$27)</f>
        <v>8.0411857094342662E-2</v>
      </c>
      <c r="AC76" s="35">
        <f>'Achtergrond verbruiksprofielen'!$G$29+(AC72-'Achtergrond verbruiksprofielen'!$G$27)*('Achtergrond verbruiksprofielen'!$H$29-'Achtergrond verbruiksprofielen'!$G$29)/('Achtergrond verbruiksprofielen'!$H$27-'Achtergrond verbruiksprofielen'!$G$27)</f>
        <v>8.2187048650577951E-2</v>
      </c>
      <c r="AD76" s="35">
        <f>'Achtergrond verbruiksprofielen'!$H$29</f>
        <v>8.3962240206813241E-2</v>
      </c>
      <c r="AE76" s="35">
        <f>'Achtergrond verbruiksprofielen'!$H$29</f>
        <v>8.3962240206813241E-2</v>
      </c>
      <c r="AF76" s="35">
        <f>'Achtergrond verbruiksprofielen'!$H$29</f>
        <v>8.3962240206813241E-2</v>
      </c>
      <c r="AG76" s="35">
        <f>'Achtergrond verbruiksprofielen'!$H$29</f>
        <v>8.3962240206813241E-2</v>
      </c>
      <c r="AH76" s="35">
        <f>'Achtergrond verbruiksprofielen'!$H$29</f>
        <v>8.3962240206813241E-2</v>
      </c>
      <c r="AI76" s="60"/>
      <c r="AJ76" s="60"/>
      <c r="AK76" s="60"/>
    </row>
    <row r="77" spans="1:37" ht="15.6" x14ac:dyDescent="0.3">
      <c r="A77" s="11" t="s">
        <v>87</v>
      </c>
      <c r="B77" s="11"/>
      <c r="C77" s="33"/>
      <c r="D77" s="33" t="s">
        <v>88</v>
      </c>
      <c r="E77" s="361">
        <f>'Achtergrond verbruiksprofielen'!$C$30</f>
        <v>4730</v>
      </c>
      <c r="F77" s="361">
        <f>'Achtergrond verbruiksprofielen'!$C$30+(F72-'Achtergrond verbruiksprofielen'!$C$27)*('Achtergrond verbruiksprofielen'!$D$30-'Achtergrond verbruiksprofielen'!$C$30)/('Achtergrond verbruiksprofielen'!$D$27-'Achtergrond verbruiksprofielen'!$C$27)</f>
        <v>4730</v>
      </c>
      <c r="G77" s="361">
        <f>'Achtergrond verbruiksprofielen'!$C$30+(G72-'Achtergrond verbruiksprofielen'!$C$27)*('Achtergrond verbruiksprofielen'!$D$30-'Achtergrond verbruiksprofielen'!$C$30)/('Achtergrond verbruiksprofielen'!$D$27-'Achtergrond verbruiksprofielen'!$C$27)</f>
        <v>4730</v>
      </c>
      <c r="H77" s="361">
        <f>'Achtergrond verbruiksprofielen'!$C$30+(H72-'Achtergrond verbruiksprofielen'!$C$27)*('Achtergrond verbruiksprofielen'!$D$30-'Achtergrond verbruiksprofielen'!$C$30)/('Achtergrond verbruiksprofielen'!$D$27-'Achtergrond verbruiksprofielen'!$C$27)</f>
        <v>4730</v>
      </c>
      <c r="I77" s="361">
        <f>'Achtergrond verbruiksprofielen'!$C$30+(I72-'Achtergrond verbruiksprofielen'!$C$27)*('Achtergrond verbruiksprofielen'!$D$30-'Achtergrond verbruiksprofielen'!$C$30)/('Achtergrond verbruiksprofielen'!$D$27-'Achtergrond verbruiksprofielen'!$C$27)</f>
        <v>4730</v>
      </c>
      <c r="J77" s="361">
        <f>'Achtergrond verbruiksprofielen'!$D$30</f>
        <v>4730</v>
      </c>
      <c r="K77" s="361">
        <f>'Achtergrond verbruiksprofielen'!$D$30+(K72-'Achtergrond verbruiksprofielen'!$D$27)*('Achtergrond verbruiksprofielen'!$E$30-'Achtergrond verbruiksprofielen'!$D$30)/('Achtergrond verbruiksprofielen'!$E$27-'Achtergrond verbruiksprofielen'!$D$27)</f>
        <v>4730</v>
      </c>
      <c r="L77" s="361">
        <f>'Achtergrond verbruiksprofielen'!$D$30+(L72-'Achtergrond verbruiksprofielen'!$D$27)*('Achtergrond verbruiksprofielen'!$E$30-'Achtergrond verbruiksprofielen'!$D$30)/('Achtergrond verbruiksprofielen'!$E$27-'Achtergrond verbruiksprofielen'!$D$27)</f>
        <v>4730</v>
      </c>
      <c r="M77" s="361">
        <f>'Achtergrond verbruiksprofielen'!$D$30+(M72-'Achtergrond verbruiksprofielen'!$D$27)*('Achtergrond verbruiksprofielen'!$E$30-'Achtergrond verbruiksprofielen'!$D$30)/('Achtergrond verbruiksprofielen'!$E$27-'Achtergrond verbruiksprofielen'!$D$27)</f>
        <v>4730</v>
      </c>
      <c r="N77" s="361">
        <f>'Achtergrond verbruiksprofielen'!$D$30+(N72-'Achtergrond verbruiksprofielen'!$D$27)*('Achtergrond verbruiksprofielen'!$E$30-'Achtergrond verbruiksprofielen'!$D$30)/('Achtergrond verbruiksprofielen'!$E$27-'Achtergrond verbruiksprofielen'!$D$27)</f>
        <v>4730</v>
      </c>
      <c r="O77" s="361">
        <f>'Achtergrond verbruiksprofielen'!$E$30</f>
        <v>4730</v>
      </c>
      <c r="P77" s="361">
        <f>'Achtergrond verbruiksprofielen'!$E$30+(P72-'Achtergrond verbruiksprofielen'!$E$27)*('Achtergrond verbruiksprofielen'!$F$30-'Achtergrond verbruiksprofielen'!$E$30)/('Achtergrond verbruiksprofielen'!$F$27-'Achtergrond verbruiksprofielen'!$E$27)</f>
        <v>4730</v>
      </c>
      <c r="Q77" s="361">
        <f>'Achtergrond verbruiksprofielen'!$E$30+(Q72-'Achtergrond verbruiksprofielen'!$E$27)*('Achtergrond verbruiksprofielen'!$F$30-'Achtergrond verbruiksprofielen'!$E$30)/('Achtergrond verbruiksprofielen'!$F$27-'Achtergrond verbruiksprofielen'!$E$27)</f>
        <v>4730</v>
      </c>
      <c r="R77" s="361">
        <f>'Achtergrond verbruiksprofielen'!$E$30+(R72-'Achtergrond verbruiksprofielen'!$E$27)*('Achtergrond verbruiksprofielen'!$F$30-'Achtergrond verbruiksprofielen'!$E$30)/('Achtergrond verbruiksprofielen'!$F$27-'Achtergrond verbruiksprofielen'!$E$27)</f>
        <v>4730</v>
      </c>
      <c r="S77" s="361">
        <f>'Achtergrond verbruiksprofielen'!$E$30+(S72-'Achtergrond verbruiksprofielen'!$E$27)*('Achtergrond verbruiksprofielen'!$F$30-'Achtergrond verbruiksprofielen'!$E$30)/('Achtergrond verbruiksprofielen'!$F$27-'Achtergrond verbruiksprofielen'!$E$27)</f>
        <v>4730</v>
      </c>
      <c r="T77" s="361">
        <f>'Achtergrond verbruiksprofielen'!$F$30</f>
        <v>4730</v>
      </c>
      <c r="U77" s="361">
        <f>'Achtergrond verbruiksprofielen'!$F$30+(U72-'Achtergrond verbruiksprofielen'!$F$27)*('Achtergrond verbruiksprofielen'!$G$30-'Achtergrond verbruiksprofielen'!$F$30)/('Achtergrond verbruiksprofielen'!$G$27-'Achtergrond verbruiksprofielen'!$F$27)</f>
        <v>4730</v>
      </c>
      <c r="V77" s="361">
        <f>'Achtergrond verbruiksprofielen'!$F$30+(V72-'Achtergrond verbruiksprofielen'!$F$27)*('Achtergrond verbruiksprofielen'!$G$30-'Achtergrond verbruiksprofielen'!$F$30)/('Achtergrond verbruiksprofielen'!$G$27-'Achtergrond verbruiksprofielen'!$F$27)</f>
        <v>4730</v>
      </c>
      <c r="W77" s="361">
        <f>'Achtergrond verbruiksprofielen'!$F$30+(W72-'Achtergrond verbruiksprofielen'!$F$27)*('Achtergrond verbruiksprofielen'!$G$30-'Achtergrond verbruiksprofielen'!$F$30)/('Achtergrond verbruiksprofielen'!$G$27-'Achtergrond verbruiksprofielen'!$F$27)</f>
        <v>4730</v>
      </c>
      <c r="X77" s="361">
        <f>'Achtergrond verbruiksprofielen'!$F$30+(X72-'Achtergrond verbruiksprofielen'!$F$27)*('Achtergrond verbruiksprofielen'!$G$30-'Achtergrond verbruiksprofielen'!$F$30)/('Achtergrond verbruiksprofielen'!$G$27-'Achtergrond verbruiksprofielen'!$F$27)</f>
        <v>4730</v>
      </c>
      <c r="Y77" s="361">
        <f>'Achtergrond verbruiksprofielen'!$G$30</f>
        <v>4730</v>
      </c>
      <c r="Z77" s="361">
        <f>'Achtergrond verbruiksprofielen'!$G$30+(Z72-'Achtergrond verbruiksprofielen'!$G$27)*('Achtergrond verbruiksprofielen'!$H$30-'Achtergrond verbruiksprofielen'!$G$30)/('Achtergrond verbruiksprofielen'!$H$27-'Achtergrond verbruiksprofielen'!$G$27)</f>
        <v>4730</v>
      </c>
      <c r="AA77" s="361">
        <f>'Achtergrond verbruiksprofielen'!$G$30+(AA72-'Achtergrond verbruiksprofielen'!$G$27)*('Achtergrond verbruiksprofielen'!$H$30-'Achtergrond verbruiksprofielen'!$G$30)/('Achtergrond verbruiksprofielen'!$H$27-'Achtergrond verbruiksprofielen'!$G$27)</f>
        <v>4730</v>
      </c>
      <c r="AB77" s="361">
        <f>'Achtergrond verbruiksprofielen'!$G$30+(AB72-'Achtergrond verbruiksprofielen'!$G$27)*('Achtergrond verbruiksprofielen'!$H$30-'Achtergrond verbruiksprofielen'!$G$30)/('Achtergrond verbruiksprofielen'!$H$27-'Achtergrond verbruiksprofielen'!$G$27)</f>
        <v>4730</v>
      </c>
      <c r="AC77" s="361">
        <f>'Achtergrond verbruiksprofielen'!$G$30+(AC72-'Achtergrond verbruiksprofielen'!$G$27)*('Achtergrond verbruiksprofielen'!$H$30-'Achtergrond verbruiksprofielen'!$G$30)/('Achtergrond verbruiksprofielen'!$H$27-'Achtergrond verbruiksprofielen'!$G$27)</f>
        <v>4730</v>
      </c>
      <c r="AD77" s="361">
        <f>'Achtergrond verbruiksprofielen'!$H$30</f>
        <v>4730</v>
      </c>
      <c r="AE77" s="361">
        <f>'Achtergrond verbruiksprofielen'!$H$30</f>
        <v>4730</v>
      </c>
      <c r="AF77" s="361">
        <f>'Achtergrond verbruiksprofielen'!$H$30</f>
        <v>4730</v>
      </c>
      <c r="AG77" s="361">
        <f>'Achtergrond verbruiksprofielen'!$H$30</f>
        <v>4730</v>
      </c>
      <c r="AH77" s="361">
        <f>'Achtergrond verbruiksprofielen'!$H$30</f>
        <v>4730</v>
      </c>
      <c r="AI77" s="60"/>
      <c r="AJ77" s="60"/>
      <c r="AK77" s="60"/>
    </row>
    <row r="78" spans="1:37" ht="15.6" x14ac:dyDescent="0.3">
      <c r="A78" s="11"/>
      <c r="B78" s="11"/>
      <c r="C78" s="11"/>
      <c r="D78" s="11"/>
      <c r="E78" s="341"/>
      <c r="F78" s="341"/>
      <c r="G78" s="341"/>
      <c r="H78" s="341"/>
      <c r="I78" s="341"/>
      <c r="J78" s="341"/>
      <c r="K78" s="341"/>
      <c r="L78" s="341"/>
      <c r="M78" s="341"/>
      <c r="N78" s="341"/>
      <c r="O78" s="341"/>
      <c r="P78" s="341"/>
      <c r="Q78" s="341"/>
      <c r="R78" s="341"/>
      <c r="S78" s="341"/>
      <c r="T78" s="341"/>
      <c r="U78" s="341"/>
      <c r="V78" s="341"/>
      <c r="W78" s="341"/>
      <c r="X78" s="341"/>
      <c r="Y78" s="341"/>
      <c r="Z78" s="341"/>
      <c r="AA78" s="341"/>
      <c r="AB78" s="341"/>
      <c r="AC78" s="341"/>
      <c r="AD78" s="341"/>
      <c r="AE78" s="341"/>
      <c r="AF78" s="341"/>
      <c r="AG78" s="341"/>
      <c r="AH78" s="341"/>
      <c r="AI78" s="60"/>
      <c r="AJ78" s="60"/>
      <c r="AK78" s="60"/>
    </row>
    <row r="79" spans="1:37" ht="15.6" x14ac:dyDescent="0.3">
      <c r="A79" s="66" t="s">
        <v>89</v>
      </c>
      <c r="B79" s="11"/>
      <c r="C79" s="11"/>
      <c r="D79" s="58" t="s">
        <v>81</v>
      </c>
      <c r="E79" s="58"/>
      <c r="F79" s="58"/>
      <c r="G79" s="58"/>
      <c r="H79" s="58"/>
      <c r="I79" s="58"/>
      <c r="J79" s="58"/>
      <c r="K79" s="58"/>
      <c r="L79" s="58"/>
      <c r="M79" s="58"/>
      <c r="N79" s="58"/>
      <c r="O79" s="58"/>
      <c r="P79" s="58"/>
      <c r="Q79" s="58"/>
      <c r="R79" s="58"/>
      <c r="S79" s="58"/>
      <c r="T79" s="58"/>
      <c r="U79" s="58"/>
      <c r="V79" s="58"/>
      <c r="W79" s="58"/>
      <c r="X79" s="58"/>
      <c r="Y79" s="58"/>
      <c r="Z79" s="58"/>
      <c r="AA79" s="58"/>
      <c r="AB79" s="58"/>
      <c r="AC79" s="58"/>
      <c r="AD79" s="58"/>
      <c r="AE79" s="58"/>
      <c r="AF79" s="58"/>
      <c r="AG79" s="58"/>
      <c r="AH79" s="58"/>
      <c r="AI79" s="60"/>
      <c r="AJ79" s="60"/>
      <c r="AK79" s="60"/>
    </row>
    <row r="80" spans="1:37" ht="18" x14ac:dyDescent="0.3">
      <c r="A80" s="11" t="s">
        <v>82</v>
      </c>
      <c r="B80" s="11"/>
      <c r="C80" s="11"/>
      <c r="D80" s="33" t="s">
        <v>90</v>
      </c>
      <c r="E80" s="50">
        <f>'Achtergrond verbruiksprofielen'!$C$50</f>
        <v>2.4E-2</v>
      </c>
      <c r="F80" s="50">
        <f>'Achtergrond verbruiksprofielen'!$C$50</f>
        <v>2.4E-2</v>
      </c>
      <c r="G80" s="50">
        <f>'Achtergrond verbruiksprofielen'!$C$50</f>
        <v>2.4E-2</v>
      </c>
      <c r="H80" s="50">
        <f>'Achtergrond verbruiksprofielen'!$C$50</f>
        <v>2.4E-2</v>
      </c>
      <c r="I80" s="50">
        <f>'Achtergrond verbruiksprofielen'!$C$50</f>
        <v>2.4E-2</v>
      </c>
      <c r="J80" s="50">
        <f>'Achtergrond verbruiksprofielen'!$C$50</f>
        <v>2.4E-2</v>
      </c>
      <c r="K80" s="50">
        <f>'Achtergrond verbruiksprofielen'!$C$50</f>
        <v>2.4E-2</v>
      </c>
      <c r="L80" s="50">
        <f>'Achtergrond verbruiksprofielen'!$C$50</f>
        <v>2.4E-2</v>
      </c>
      <c r="M80" s="50">
        <f>'Achtergrond verbruiksprofielen'!$C$50</f>
        <v>2.4E-2</v>
      </c>
      <c r="N80" s="50">
        <f>'Achtergrond verbruiksprofielen'!$C$50</f>
        <v>2.4E-2</v>
      </c>
      <c r="O80" s="50">
        <f>'Achtergrond verbruiksprofielen'!$C$50</f>
        <v>2.4E-2</v>
      </c>
      <c r="P80" s="50">
        <f>'Achtergrond verbruiksprofielen'!$C$50</f>
        <v>2.4E-2</v>
      </c>
      <c r="Q80" s="50">
        <f>'Achtergrond verbruiksprofielen'!$C$50</f>
        <v>2.4E-2</v>
      </c>
      <c r="R80" s="50">
        <f>'Achtergrond verbruiksprofielen'!$C$50</f>
        <v>2.4E-2</v>
      </c>
      <c r="S80" s="50">
        <f>'Achtergrond verbruiksprofielen'!$C$50</f>
        <v>2.4E-2</v>
      </c>
      <c r="T80" s="50">
        <f>'Achtergrond verbruiksprofielen'!$C$50</f>
        <v>2.4E-2</v>
      </c>
      <c r="U80" s="50">
        <f>'Achtergrond verbruiksprofielen'!$C$50</f>
        <v>2.4E-2</v>
      </c>
      <c r="V80" s="50">
        <f>'Achtergrond verbruiksprofielen'!$C$50</f>
        <v>2.4E-2</v>
      </c>
      <c r="W80" s="50">
        <f>'Achtergrond verbruiksprofielen'!$C$50</f>
        <v>2.4E-2</v>
      </c>
      <c r="X80" s="50">
        <f>'Achtergrond verbruiksprofielen'!$C$50</f>
        <v>2.4E-2</v>
      </c>
      <c r="Y80" s="50">
        <f>'Achtergrond verbruiksprofielen'!$C$50</f>
        <v>2.4E-2</v>
      </c>
      <c r="Z80" s="50">
        <f>'Achtergrond verbruiksprofielen'!$C$50</f>
        <v>2.4E-2</v>
      </c>
      <c r="AA80" s="50">
        <f>'Achtergrond verbruiksprofielen'!$C$50</f>
        <v>2.4E-2</v>
      </c>
      <c r="AB80" s="50">
        <f>'Achtergrond verbruiksprofielen'!$C$50</f>
        <v>2.4E-2</v>
      </c>
      <c r="AC80" s="50">
        <f>'Achtergrond verbruiksprofielen'!$C$50</f>
        <v>2.4E-2</v>
      </c>
      <c r="AD80" s="50">
        <f>'Achtergrond verbruiksprofielen'!$C$50</f>
        <v>2.4E-2</v>
      </c>
      <c r="AE80" s="50">
        <f>'Achtergrond verbruiksprofielen'!$C$50</f>
        <v>2.4E-2</v>
      </c>
      <c r="AF80" s="50">
        <f>'Achtergrond verbruiksprofielen'!$C$50</f>
        <v>2.4E-2</v>
      </c>
      <c r="AG80" s="50">
        <f>'Achtergrond verbruiksprofielen'!$C$50</f>
        <v>2.4E-2</v>
      </c>
      <c r="AH80" s="50">
        <f>'Achtergrond verbruiksprofielen'!$C$50</f>
        <v>2.4E-2</v>
      </c>
      <c r="AI80" s="60"/>
      <c r="AJ80" s="60"/>
      <c r="AK80" s="60"/>
    </row>
    <row r="81" spans="1:37" ht="18" x14ac:dyDescent="0.4">
      <c r="A81" s="11" t="s">
        <v>178</v>
      </c>
      <c r="B81" s="11"/>
      <c r="C81" s="11"/>
      <c r="D81" s="223" t="s">
        <v>167</v>
      </c>
      <c r="E81" s="35">
        <v>0</v>
      </c>
      <c r="F81" s="35">
        <v>0</v>
      </c>
      <c r="G81" s="35">
        <v>0</v>
      </c>
      <c r="H81" s="35">
        <f>_xlfn.FORECAST.LINEAR(H$6,'Achtergrond verbruiksprofielen'!$C$54:$D$54,'Achtergrond verbruiksprofielen'!$C$52:$D$52)</f>
        <v>8.0000000000008953E-3</v>
      </c>
      <c r="I81" s="35">
        <f>_xlfn.FORECAST.LINEAR(I$6,'Achtergrond verbruiksprofielen'!$C$54:$D$54,'Achtergrond verbruiksprofielen'!$C$52:$D$52)</f>
        <v>1.3999999999999346E-2</v>
      </c>
      <c r="J81" s="35">
        <f>'Achtergrond verbruiksprofielen'!$D$54</f>
        <v>0.02</v>
      </c>
      <c r="K81" s="35">
        <f>_xlfn.FORECAST.LINEAR(K$6,'Achtergrond verbruiksprofielen'!$D$54:$E$54,'Achtergrond verbruiksprofielen'!$D$52:$E$52)</f>
        <v>2.3999999999999133E-2</v>
      </c>
      <c r="L81" s="35">
        <f>_xlfn.FORECAST.LINEAR(L$6,'Achtergrond verbruiksprofielen'!$D$54:$E$54,'Achtergrond verbruiksprofielen'!$D$52:$E$52)</f>
        <v>2.7999999999998693E-2</v>
      </c>
      <c r="M81" s="35">
        <f>_xlfn.FORECAST.LINEAR(M$6,'Achtergrond verbruiksprofielen'!$D$54:$E$54,'Achtergrond verbruiksprofielen'!$D$52:$E$52)</f>
        <v>3.1999999999998252E-2</v>
      </c>
      <c r="N81" s="35">
        <f>_xlfn.FORECAST.LINEAR(N$6,'Achtergrond verbruiksprofielen'!$D$54:$E$54,'Achtergrond verbruiksprofielen'!$D$52:$E$52)</f>
        <v>3.5999999999999588E-2</v>
      </c>
      <c r="O81" s="35">
        <f>'Achtergrond verbruiksprofielen'!$E$54</f>
        <v>0.04</v>
      </c>
      <c r="P81" s="35">
        <f>_xlfn.FORECAST.LINEAR(P$6,'Achtergrond verbruiksprofielen'!$E$54:$F$54,'Achtergrond verbruiksprofielen'!$E$52:$F$52)</f>
        <v>4.4000000000000483E-2</v>
      </c>
      <c r="Q81" s="35">
        <f>_xlfn.FORECAST.LINEAR(Q$6,'Achtergrond verbruiksprofielen'!$E$54:$F$54,'Achtergrond verbruiksprofielen'!$E$52:$F$52)</f>
        <v>4.8000000000000043E-2</v>
      </c>
      <c r="R81" s="35">
        <f>_xlfn.FORECAST.LINEAR(R$6,'Achtergrond verbruiksprofielen'!$E$54:$F$54,'Achtergrond verbruiksprofielen'!$E$52:$F$52)</f>
        <v>5.2000000000001378E-2</v>
      </c>
      <c r="S81" s="35">
        <f>_xlfn.FORECAST.LINEAR(S$6,'Achtergrond verbruiksprofielen'!$E$54:$F$54,'Achtergrond verbruiksprofielen'!$E$52:$F$52)</f>
        <v>5.6000000000000938E-2</v>
      </c>
      <c r="T81" s="35">
        <f>'Achtergrond verbruiksprofielen'!$F$54</f>
        <v>0.06</v>
      </c>
      <c r="U81" s="35">
        <f>'Achtergrond verbruiksprofielen'!$F$54</f>
        <v>0.06</v>
      </c>
      <c r="V81" s="35">
        <f>'Achtergrond verbruiksprofielen'!$F$54</f>
        <v>0.06</v>
      </c>
      <c r="W81" s="35">
        <f>'Achtergrond verbruiksprofielen'!$F$54</f>
        <v>0.06</v>
      </c>
      <c r="X81" s="35">
        <f>'Achtergrond verbruiksprofielen'!$F$54</f>
        <v>0.06</v>
      </c>
      <c r="Y81" s="35">
        <f>'Achtergrond verbruiksprofielen'!$F$54</f>
        <v>0.06</v>
      </c>
      <c r="Z81" s="35">
        <f>'Achtergrond verbruiksprofielen'!$F$54</f>
        <v>0.06</v>
      </c>
      <c r="AA81" s="35">
        <f>'Achtergrond verbruiksprofielen'!$F$54</f>
        <v>0.06</v>
      </c>
      <c r="AB81" s="35">
        <f>'Achtergrond verbruiksprofielen'!$F$54</f>
        <v>0.06</v>
      </c>
      <c r="AC81" s="35">
        <f>'Achtergrond verbruiksprofielen'!$F$54</f>
        <v>0.06</v>
      </c>
      <c r="AD81" s="35">
        <f>'Achtergrond verbruiksprofielen'!$F$54</f>
        <v>0.06</v>
      </c>
      <c r="AE81" s="35">
        <f>'Achtergrond verbruiksprofielen'!$F$54</f>
        <v>0.06</v>
      </c>
      <c r="AF81" s="35">
        <f>'Achtergrond verbruiksprofielen'!$F$54</f>
        <v>0.06</v>
      </c>
      <c r="AG81" s="35">
        <f>'Achtergrond verbruiksprofielen'!$F$54</f>
        <v>0.06</v>
      </c>
      <c r="AH81" s="35">
        <f>'Achtergrond verbruiksprofielen'!$F$54</f>
        <v>0.06</v>
      </c>
      <c r="AI81" s="60"/>
      <c r="AJ81" s="60"/>
      <c r="AK81" s="60"/>
    </row>
    <row r="82" spans="1:37" ht="18" x14ac:dyDescent="0.3">
      <c r="A82" s="11" t="s">
        <v>86</v>
      </c>
      <c r="B82" s="11"/>
      <c r="C82" s="11"/>
      <c r="D82" s="33" t="s">
        <v>62</v>
      </c>
      <c r="E82" s="35">
        <f>'Achtergrond verbruiksprofielen'!$C$73</f>
        <v>9.4896053572706987E-2</v>
      </c>
      <c r="F82" s="35">
        <f>'Achtergrond verbruiksprofielen'!$C$73+(F72-'Achtergrond verbruiksprofielen'!$C$71)*('Achtergrond verbruiksprofielen'!$D$73-'Achtergrond verbruiksprofielen'!$C$73)/('Achtergrond verbruiksprofielen'!$D$71-'Achtergrond verbruiksprofielen'!$C$71)</f>
        <v>9.450397718625507E-2</v>
      </c>
      <c r="G82" s="35">
        <f>'Achtergrond verbruiksprofielen'!$C$73+(G72-'Achtergrond verbruiksprofielen'!$C$71)*('Achtergrond verbruiksprofielen'!$D$73-'Achtergrond verbruiksprofielen'!$C$73)/('Achtergrond verbruiksprofielen'!$D$71-'Achtergrond verbruiksprofielen'!$C$71)</f>
        <v>9.4111900799803153E-2</v>
      </c>
      <c r="H82" s="35">
        <f>'Achtergrond verbruiksprofielen'!$C$73+(H72-'Achtergrond verbruiksprofielen'!$C$71)*('Achtergrond verbruiksprofielen'!$D$73-'Achtergrond verbruiksprofielen'!$C$73)/('Achtergrond verbruiksprofielen'!$D$71-'Achtergrond verbruiksprofielen'!$C$71)</f>
        <v>9.3719824413351249E-2</v>
      </c>
      <c r="I82" s="35">
        <f>'Achtergrond verbruiksprofielen'!$C$73+(I72-'Achtergrond verbruiksprofielen'!$C$71)*('Achtergrond verbruiksprofielen'!$D$73-'Achtergrond verbruiksprofielen'!$C$73)/('Achtergrond verbruiksprofielen'!$D$71-'Achtergrond verbruiksprofielen'!$C$71)</f>
        <v>9.3327748026899332E-2</v>
      </c>
      <c r="J82" s="35">
        <f>'Achtergrond verbruiksprofielen'!$D$73</f>
        <v>9.2935671640447415E-2</v>
      </c>
      <c r="K82" s="35">
        <f>'Achtergrond verbruiksprofielen'!$D$73+(K72-'Achtergrond verbruiksprofielen'!$D$71)*('Achtergrond verbruiksprofielen'!$E$73-'Achtergrond verbruiksprofielen'!$D$73)/('Achtergrond verbruiksprofielen'!$E$71-'Achtergrond verbruiksprofielen'!$D$71)</f>
        <v>9.2017665242085253E-2</v>
      </c>
      <c r="L82" s="35">
        <f>'Achtergrond verbruiksprofielen'!$D$73+(L72-'Achtergrond verbruiksprofielen'!$D$71)*('Achtergrond verbruiksprofielen'!$E$73-'Achtergrond verbruiksprofielen'!$D$73)/('Achtergrond verbruiksprofielen'!$E$71-'Achtergrond verbruiksprofielen'!$D$71)</f>
        <v>9.1099658843723091E-2</v>
      </c>
      <c r="M82" s="35">
        <f>'Achtergrond verbruiksprofielen'!$D$73+(M72-'Achtergrond verbruiksprofielen'!$D$71)*('Achtergrond verbruiksprofielen'!$E$73-'Achtergrond verbruiksprofielen'!$D$73)/('Achtergrond verbruiksprofielen'!$E$71-'Achtergrond verbruiksprofielen'!$D$71)</f>
        <v>9.0181652445360916E-2</v>
      </c>
      <c r="N82" s="35">
        <f>'Achtergrond verbruiksprofielen'!$D$73+(N72-'Achtergrond verbruiksprofielen'!$D$71)*('Achtergrond verbruiksprofielen'!$E$73-'Achtergrond verbruiksprofielen'!$D$73)/('Achtergrond verbruiksprofielen'!$E$71-'Achtergrond verbruiksprofielen'!$D$71)</f>
        <v>8.9263646046998754E-2</v>
      </c>
      <c r="O82" s="35">
        <f>'Achtergrond verbruiksprofielen'!$E$73</f>
        <v>8.8345639648636592E-2</v>
      </c>
      <c r="P82" s="35">
        <f>'Achtergrond verbruiksprofielen'!$E$73+(P72-'Achtergrond verbruiksprofielen'!$E$71)*('Achtergrond verbruiksprofielen'!$F$73-'Achtergrond verbruiksprofielen'!$E$73)/('Achtergrond verbruiksprofielen'!$F$71-'Achtergrond verbruiksprofielen'!$E$71)</f>
        <v>8.8209697182879437E-2</v>
      </c>
      <c r="Q82" s="35">
        <f>'Achtergrond verbruiksprofielen'!$E$73+(Q72-'Achtergrond verbruiksprofielen'!$E$71)*('Achtergrond verbruiksprofielen'!$F$73-'Achtergrond verbruiksprofielen'!$E$73)/('Achtergrond verbruiksprofielen'!$F$71-'Achtergrond verbruiksprofielen'!$E$71)</f>
        <v>8.8073754717122296E-2</v>
      </c>
      <c r="R82" s="35">
        <f>'Achtergrond verbruiksprofielen'!$E$73+(R72-'Achtergrond verbruiksprofielen'!$E$71)*('Achtergrond verbruiksprofielen'!$F$73-'Achtergrond verbruiksprofielen'!$E$73)/('Achtergrond verbruiksprofielen'!$F$71-'Achtergrond verbruiksprofielen'!$E$71)</f>
        <v>8.7937812251365141E-2</v>
      </c>
      <c r="S82" s="35">
        <f>'Achtergrond verbruiksprofielen'!$E$73+(S72-'Achtergrond verbruiksprofielen'!$E$71)*('Achtergrond verbruiksprofielen'!$F$73-'Achtergrond verbruiksprofielen'!$E$73)/('Achtergrond verbruiksprofielen'!$F$71-'Achtergrond verbruiksprofielen'!$E$71)</f>
        <v>8.7801869785608E-2</v>
      </c>
      <c r="T82" s="35">
        <f>'Achtergrond verbruiksprofielen'!$F$73</f>
        <v>8.7665927319850845E-2</v>
      </c>
      <c r="U82" s="35">
        <f>'Achtergrond verbruiksprofielen'!$F$73+(U72-'Achtergrond verbruiksprofielen'!$F$71)*('Achtergrond verbruiksprofielen'!$G$73-'Achtergrond verbruiksprofielen'!$F$73)/('Achtergrond verbruiksprofielen'!$G$71-'Achtergrond verbruiksprofielen'!$F$71)</f>
        <v>8.751208492196115E-2</v>
      </c>
      <c r="V82" s="35">
        <f>'Achtergrond verbruiksprofielen'!$F$73+(V72-'Achtergrond verbruiksprofielen'!$F$71)*('Achtergrond verbruiksprofielen'!$G$73-'Achtergrond verbruiksprofielen'!$F$73)/('Achtergrond verbruiksprofielen'!$G$71-'Achtergrond verbruiksprofielen'!$F$71)</f>
        <v>8.7358242524071456E-2</v>
      </c>
      <c r="W82" s="35">
        <f>'Achtergrond verbruiksprofielen'!$F$73+(W72-'Achtergrond verbruiksprofielen'!$F$71)*('Achtergrond verbruiksprofielen'!$G$73-'Achtergrond verbruiksprofielen'!$F$73)/('Achtergrond verbruiksprofielen'!$G$71-'Achtergrond verbruiksprofielen'!$F$71)</f>
        <v>8.7204400126181775E-2</v>
      </c>
      <c r="X82" s="35">
        <f>'Achtergrond verbruiksprofielen'!$F$73+(X72-'Achtergrond verbruiksprofielen'!$F$71)*('Achtergrond verbruiksprofielen'!$G$73-'Achtergrond verbruiksprofielen'!$F$73)/('Achtergrond verbruiksprofielen'!$G$71-'Achtergrond verbruiksprofielen'!$F$71)</f>
        <v>8.705055772829208E-2</v>
      </c>
      <c r="Y82" s="35">
        <f>'Achtergrond verbruiksprofielen'!$G$73</f>
        <v>8.6896715330402385E-2</v>
      </c>
      <c r="Z82" s="35">
        <f>'Achtergrond verbruiksprofielen'!$G$73+(Z72-'Achtergrond verbruiksprofielen'!$G$71)*('Achtergrond verbruiksprofielen'!$H$73-'Achtergrond verbruiksprofielen'!$G$73)/('Achtergrond verbruiksprofielen'!$H$71-'Achtergrond verbruiksprofielen'!$G$71)</f>
        <v>8.5359347385965456E-2</v>
      </c>
      <c r="AA82" s="35">
        <f>'Achtergrond verbruiksprofielen'!$G$73+(AA72-'Achtergrond verbruiksprofielen'!$G$71)*('Achtergrond verbruiksprofielen'!$H$73-'Achtergrond verbruiksprofielen'!$G$73)/('Achtergrond verbruiksprofielen'!$H$71-'Achtergrond verbruiksprofielen'!$G$71)</f>
        <v>8.3821979441528513E-2</v>
      </c>
      <c r="AB82" s="35">
        <f>'Achtergrond verbruiksprofielen'!$G$73+(AB72-'Achtergrond verbruiksprofielen'!$G$71)*('Achtergrond verbruiksprofielen'!$H$73-'Achtergrond verbruiksprofielen'!$G$73)/('Achtergrond verbruiksprofielen'!$H$71-'Achtergrond verbruiksprofielen'!$G$71)</f>
        <v>8.2284611497091584E-2</v>
      </c>
      <c r="AC82" s="35">
        <f>'Achtergrond verbruiksprofielen'!$G$73+(AC72-'Achtergrond verbruiksprofielen'!$G$71)*('Achtergrond verbruiksprofielen'!$H$73-'Achtergrond verbruiksprofielen'!$G$73)/('Achtergrond verbruiksprofielen'!$H$71-'Achtergrond verbruiksprofielen'!$G$71)</f>
        <v>8.0747243552654641E-2</v>
      </c>
      <c r="AD82" s="35">
        <f>'Achtergrond verbruiksprofielen'!$H$73</f>
        <v>7.9209875608217711E-2</v>
      </c>
      <c r="AE82" s="35">
        <f>'Achtergrond verbruiksprofielen'!$H$73</f>
        <v>7.9209875608217711E-2</v>
      </c>
      <c r="AF82" s="35">
        <f>'Achtergrond verbruiksprofielen'!$H$73</f>
        <v>7.9209875608217711E-2</v>
      </c>
      <c r="AG82" s="35">
        <f>'Achtergrond verbruiksprofielen'!$H$73</f>
        <v>7.9209875608217711E-2</v>
      </c>
      <c r="AH82" s="35">
        <f>'Achtergrond verbruiksprofielen'!$H$73</f>
        <v>7.9209875608217711E-2</v>
      </c>
      <c r="AI82" s="60"/>
      <c r="AJ82" s="60"/>
      <c r="AK82" s="60"/>
    </row>
    <row r="83" spans="1:37" ht="15.6" x14ac:dyDescent="0.3">
      <c r="A83" s="11" t="s">
        <v>87</v>
      </c>
      <c r="B83" s="11"/>
      <c r="C83" s="33"/>
      <c r="D83" s="33" t="s">
        <v>88</v>
      </c>
      <c r="E83" s="361">
        <f>'Achtergrond verbruiksprofielen'!$C$74</f>
        <v>4730</v>
      </c>
      <c r="F83" s="361">
        <f>'Achtergrond verbruiksprofielen'!$C$74+(F72-'Achtergrond verbruiksprofielen'!$C$71)*('Achtergrond verbruiksprofielen'!$D$74-'Achtergrond verbruiksprofielen'!$C$74)/('Achtergrond verbruiksprofielen'!$D$71-'Achtergrond verbruiksprofielen'!$C$71)</f>
        <v>4730</v>
      </c>
      <c r="G83" s="361">
        <f>'Achtergrond verbruiksprofielen'!$C$74+(G72-'Achtergrond verbruiksprofielen'!$C$71)*('Achtergrond verbruiksprofielen'!$D$74-'Achtergrond verbruiksprofielen'!$C$74)/('Achtergrond verbruiksprofielen'!$D$71-'Achtergrond verbruiksprofielen'!$C$71)</f>
        <v>4730</v>
      </c>
      <c r="H83" s="361">
        <f>'Achtergrond verbruiksprofielen'!$C$74+(H72-'Achtergrond verbruiksprofielen'!$C$71)*('Achtergrond verbruiksprofielen'!$D$74-'Achtergrond verbruiksprofielen'!$C$74)/('Achtergrond verbruiksprofielen'!$D$71-'Achtergrond verbruiksprofielen'!$C$71)</f>
        <v>4730</v>
      </c>
      <c r="I83" s="361">
        <f>'Achtergrond verbruiksprofielen'!$C$74+(I72-'Achtergrond verbruiksprofielen'!$C$71)*('Achtergrond verbruiksprofielen'!$D$74-'Achtergrond verbruiksprofielen'!$C$74)/('Achtergrond verbruiksprofielen'!$D$71-'Achtergrond verbruiksprofielen'!$C$71)</f>
        <v>4730</v>
      </c>
      <c r="J83" s="361">
        <f>'Achtergrond verbruiksprofielen'!$D$74</f>
        <v>4730</v>
      </c>
      <c r="K83" s="361">
        <f>'Achtergrond verbruiksprofielen'!$D$74+(K72-'Achtergrond verbruiksprofielen'!$D$71)*('Achtergrond verbruiksprofielen'!$E$74-'Achtergrond verbruiksprofielen'!$D$74)/('Achtergrond verbruiksprofielen'!$E$71-'Achtergrond verbruiksprofielen'!$D$71)</f>
        <v>4730</v>
      </c>
      <c r="L83" s="361">
        <f>'Achtergrond verbruiksprofielen'!$D$74+(L72-'Achtergrond verbruiksprofielen'!$D$71)*('Achtergrond verbruiksprofielen'!$E$74-'Achtergrond verbruiksprofielen'!$D$74)/('Achtergrond verbruiksprofielen'!$E$71-'Achtergrond verbruiksprofielen'!$D$71)</f>
        <v>4730</v>
      </c>
      <c r="M83" s="361">
        <f>'Achtergrond verbruiksprofielen'!$D$74+(M72-'Achtergrond verbruiksprofielen'!$D$71)*('Achtergrond verbruiksprofielen'!$E$74-'Achtergrond verbruiksprofielen'!$D$74)/('Achtergrond verbruiksprofielen'!$E$71-'Achtergrond verbruiksprofielen'!$D$71)</f>
        <v>4730</v>
      </c>
      <c r="N83" s="361">
        <f>'Achtergrond verbruiksprofielen'!$D$74+(N72-'Achtergrond verbruiksprofielen'!$D$71)*('Achtergrond verbruiksprofielen'!$E$74-'Achtergrond verbruiksprofielen'!$D$74)/('Achtergrond verbruiksprofielen'!$E$71-'Achtergrond verbruiksprofielen'!$D$71)</f>
        <v>4730</v>
      </c>
      <c r="O83" s="361">
        <f>'Achtergrond verbruiksprofielen'!$E$74</f>
        <v>4730</v>
      </c>
      <c r="P83" s="361">
        <f>'Achtergrond verbruiksprofielen'!$E$74+(P72-'Achtergrond verbruiksprofielen'!$E$71)*('Achtergrond verbruiksprofielen'!$F$74-'Achtergrond verbruiksprofielen'!$E$74)/('Achtergrond verbruiksprofielen'!$F$71-'Achtergrond verbruiksprofielen'!$E$71)</f>
        <v>4730</v>
      </c>
      <c r="Q83" s="361">
        <f>'Achtergrond verbruiksprofielen'!$E$74+(Q72-'Achtergrond verbruiksprofielen'!$E$71)*('Achtergrond verbruiksprofielen'!$F$74-'Achtergrond verbruiksprofielen'!$E$74)/('Achtergrond verbruiksprofielen'!$F$71-'Achtergrond verbruiksprofielen'!$E$71)</f>
        <v>4730</v>
      </c>
      <c r="R83" s="361">
        <f>'Achtergrond verbruiksprofielen'!$E$74+(R72-'Achtergrond verbruiksprofielen'!$E$71)*('Achtergrond verbruiksprofielen'!$F$74-'Achtergrond verbruiksprofielen'!$E$74)/('Achtergrond verbruiksprofielen'!$F$71-'Achtergrond verbruiksprofielen'!$E$71)</f>
        <v>4730</v>
      </c>
      <c r="S83" s="361">
        <f>'Achtergrond verbruiksprofielen'!$E$74+(S72-'Achtergrond verbruiksprofielen'!$E$71)*('Achtergrond verbruiksprofielen'!$F$74-'Achtergrond verbruiksprofielen'!$E$74)/('Achtergrond verbruiksprofielen'!$F$71-'Achtergrond verbruiksprofielen'!$E$71)</f>
        <v>4730</v>
      </c>
      <c r="T83" s="361">
        <f>'Achtergrond verbruiksprofielen'!$F$74</f>
        <v>4730</v>
      </c>
      <c r="U83" s="361">
        <f>'Achtergrond verbruiksprofielen'!$F$74+(U72-'Achtergrond verbruiksprofielen'!$F$71)*('Achtergrond verbruiksprofielen'!$G$74-'Achtergrond verbruiksprofielen'!$F$74)/('Achtergrond verbruiksprofielen'!$G$71-'Achtergrond verbruiksprofielen'!$F$71)</f>
        <v>4730</v>
      </c>
      <c r="V83" s="361">
        <f>'Achtergrond verbruiksprofielen'!$F$74+(V72-'Achtergrond verbruiksprofielen'!$F$71)*('Achtergrond verbruiksprofielen'!$G$74-'Achtergrond verbruiksprofielen'!$F$74)/('Achtergrond verbruiksprofielen'!$G$71-'Achtergrond verbruiksprofielen'!$F$71)</f>
        <v>4730</v>
      </c>
      <c r="W83" s="361">
        <f>'Achtergrond verbruiksprofielen'!$F$74+(W72-'Achtergrond verbruiksprofielen'!$F$71)*('Achtergrond verbruiksprofielen'!$G$74-'Achtergrond verbruiksprofielen'!$F$74)/('Achtergrond verbruiksprofielen'!$G$71-'Achtergrond verbruiksprofielen'!$F$71)</f>
        <v>4730</v>
      </c>
      <c r="X83" s="361">
        <f>'Achtergrond verbruiksprofielen'!$F$74+(X72-'Achtergrond verbruiksprofielen'!$F$71)*('Achtergrond verbruiksprofielen'!$G$74-'Achtergrond verbruiksprofielen'!$F$74)/('Achtergrond verbruiksprofielen'!$G$71-'Achtergrond verbruiksprofielen'!$F$71)</f>
        <v>4730</v>
      </c>
      <c r="Y83" s="361">
        <f>'Achtergrond verbruiksprofielen'!$G$74</f>
        <v>4730</v>
      </c>
      <c r="Z83" s="361">
        <f>'Achtergrond verbruiksprofielen'!$G$74+(Z72-'Achtergrond verbruiksprofielen'!$G$71)*('Achtergrond verbruiksprofielen'!$H$74-'Achtergrond verbruiksprofielen'!$G$74)/('Achtergrond verbruiksprofielen'!$H$71-'Achtergrond verbruiksprofielen'!$G$71)</f>
        <v>4730</v>
      </c>
      <c r="AA83" s="361">
        <f>'Achtergrond verbruiksprofielen'!$G$74+(AA72-'Achtergrond verbruiksprofielen'!$G$71)*('Achtergrond verbruiksprofielen'!$H$74-'Achtergrond verbruiksprofielen'!$G$74)/('Achtergrond verbruiksprofielen'!$H$71-'Achtergrond verbruiksprofielen'!$G$71)</f>
        <v>4730</v>
      </c>
      <c r="AB83" s="361">
        <f>'Achtergrond verbruiksprofielen'!$G$74+(AB72-'Achtergrond verbruiksprofielen'!$G$71)*('Achtergrond verbruiksprofielen'!$H$74-'Achtergrond verbruiksprofielen'!$G$74)/('Achtergrond verbruiksprofielen'!$H$71-'Achtergrond verbruiksprofielen'!$G$71)</f>
        <v>4730</v>
      </c>
      <c r="AC83" s="361">
        <f>'Achtergrond verbruiksprofielen'!$G$74+(AC72-'Achtergrond verbruiksprofielen'!$G$71)*('Achtergrond verbruiksprofielen'!$H$74-'Achtergrond verbruiksprofielen'!$G$74)/('Achtergrond verbruiksprofielen'!$H$71-'Achtergrond verbruiksprofielen'!$G$71)</f>
        <v>4730</v>
      </c>
      <c r="AD83" s="361">
        <f>'Achtergrond verbruiksprofielen'!$H$74</f>
        <v>4730</v>
      </c>
      <c r="AE83" s="361">
        <f>'Achtergrond verbruiksprofielen'!$H$74</f>
        <v>4730</v>
      </c>
      <c r="AF83" s="361">
        <f>'Achtergrond verbruiksprofielen'!$H$74</f>
        <v>4730</v>
      </c>
      <c r="AG83" s="361">
        <f>'Achtergrond verbruiksprofielen'!$H$74</f>
        <v>4730</v>
      </c>
      <c r="AH83" s="361">
        <f>'Achtergrond verbruiksprofielen'!$H$74</f>
        <v>4730</v>
      </c>
      <c r="AI83" s="60"/>
      <c r="AJ83" s="60"/>
      <c r="AK83" s="60"/>
    </row>
    <row r="84" spans="1:37" ht="15.6" x14ac:dyDescent="0.3">
      <c r="A84" s="11"/>
      <c r="B84" s="11"/>
      <c r="C84" s="11"/>
      <c r="D84" s="11"/>
      <c r="E84" s="341"/>
      <c r="F84" s="341"/>
      <c r="G84" s="341"/>
      <c r="H84" s="341"/>
      <c r="I84" s="341"/>
      <c r="J84" s="341"/>
      <c r="K84" s="341"/>
      <c r="L84" s="341"/>
      <c r="M84" s="341"/>
      <c r="N84" s="341"/>
      <c r="O84" s="341"/>
      <c r="P84" s="341"/>
      <c r="Q84" s="341"/>
      <c r="R84" s="341"/>
      <c r="S84" s="341"/>
      <c r="T84" s="341"/>
      <c r="U84" s="341"/>
      <c r="V84" s="341"/>
      <c r="W84" s="341"/>
      <c r="X84" s="341"/>
      <c r="Y84" s="341"/>
      <c r="Z84" s="341"/>
      <c r="AA84" s="341"/>
      <c r="AB84" s="341"/>
      <c r="AC84" s="341"/>
      <c r="AD84" s="341"/>
      <c r="AE84" s="341"/>
      <c r="AF84" s="341"/>
      <c r="AG84" s="341"/>
      <c r="AH84" s="341"/>
      <c r="AI84" s="60"/>
      <c r="AJ84" s="60"/>
      <c r="AK84" s="60"/>
    </row>
    <row r="85" spans="1:37" ht="15.6" x14ac:dyDescent="0.3">
      <c r="A85" s="66" t="s">
        <v>91</v>
      </c>
      <c r="B85" s="11"/>
      <c r="C85" s="11"/>
      <c r="D85" s="58" t="s">
        <v>81</v>
      </c>
      <c r="E85" s="58"/>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c r="AI85" s="60"/>
      <c r="AJ85" s="60"/>
      <c r="AK85" s="60"/>
    </row>
    <row r="86" spans="1:37" ht="18" x14ac:dyDescent="0.3">
      <c r="A86" s="11" t="s">
        <v>82</v>
      </c>
      <c r="B86" s="11"/>
      <c r="C86" s="11"/>
      <c r="D86" s="33" t="s">
        <v>90</v>
      </c>
      <c r="E86" s="50">
        <f>'Achtergrond verbruiksprofielen'!$C$94</f>
        <v>3.2000000000000001E-2</v>
      </c>
      <c r="F86" s="50">
        <f>'Achtergrond verbruiksprofielen'!$C$94</f>
        <v>3.2000000000000001E-2</v>
      </c>
      <c r="G86" s="50">
        <f>'Achtergrond verbruiksprofielen'!$C$94</f>
        <v>3.2000000000000001E-2</v>
      </c>
      <c r="H86" s="50">
        <f>'Achtergrond verbruiksprofielen'!$C$94</f>
        <v>3.2000000000000001E-2</v>
      </c>
      <c r="I86" s="50">
        <f>'Achtergrond verbruiksprofielen'!$C$94</f>
        <v>3.2000000000000001E-2</v>
      </c>
      <c r="J86" s="50">
        <f>'Achtergrond verbruiksprofielen'!$C$94</f>
        <v>3.2000000000000001E-2</v>
      </c>
      <c r="K86" s="50">
        <f>'Achtergrond verbruiksprofielen'!$C$94</f>
        <v>3.2000000000000001E-2</v>
      </c>
      <c r="L86" s="50">
        <f>'Achtergrond verbruiksprofielen'!$C$94</f>
        <v>3.2000000000000001E-2</v>
      </c>
      <c r="M86" s="50">
        <f>'Achtergrond verbruiksprofielen'!$C$94</f>
        <v>3.2000000000000001E-2</v>
      </c>
      <c r="N86" s="50">
        <f>'Achtergrond verbruiksprofielen'!$C$94</f>
        <v>3.2000000000000001E-2</v>
      </c>
      <c r="O86" s="50">
        <f>'Achtergrond verbruiksprofielen'!$C$94</f>
        <v>3.2000000000000001E-2</v>
      </c>
      <c r="P86" s="50">
        <f>'Achtergrond verbruiksprofielen'!$C$94</f>
        <v>3.2000000000000001E-2</v>
      </c>
      <c r="Q86" s="50">
        <f>'Achtergrond verbruiksprofielen'!$C$94</f>
        <v>3.2000000000000001E-2</v>
      </c>
      <c r="R86" s="50">
        <f>'Achtergrond verbruiksprofielen'!$C$94</f>
        <v>3.2000000000000001E-2</v>
      </c>
      <c r="S86" s="50">
        <f>'Achtergrond verbruiksprofielen'!$C$94</f>
        <v>3.2000000000000001E-2</v>
      </c>
      <c r="T86" s="50">
        <f>'Achtergrond verbruiksprofielen'!$C$94</f>
        <v>3.2000000000000001E-2</v>
      </c>
      <c r="U86" s="50">
        <f>'Achtergrond verbruiksprofielen'!$C$94</f>
        <v>3.2000000000000001E-2</v>
      </c>
      <c r="V86" s="50">
        <f>'Achtergrond verbruiksprofielen'!$C$94</f>
        <v>3.2000000000000001E-2</v>
      </c>
      <c r="W86" s="50">
        <f>'Achtergrond verbruiksprofielen'!$C$94</f>
        <v>3.2000000000000001E-2</v>
      </c>
      <c r="X86" s="50">
        <f>'Achtergrond verbruiksprofielen'!$C$94</f>
        <v>3.2000000000000001E-2</v>
      </c>
      <c r="Y86" s="50">
        <f>'Achtergrond verbruiksprofielen'!$C$94</f>
        <v>3.2000000000000001E-2</v>
      </c>
      <c r="Z86" s="50">
        <f>'Achtergrond verbruiksprofielen'!$C$94</f>
        <v>3.2000000000000001E-2</v>
      </c>
      <c r="AA86" s="50">
        <f>'Achtergrond verbruiksprofielen'!$C$94</f>
        <v>3.2000000000000001E-2</v>
      </c>
      <c r="AB86" s="50">
        <f>'Achtergrond verbruiksprofielen'!$C$94</f>
        <v>3.2000000000000001E-2</v>
      </c>
      <c r="AC86" s="50">
        <f>'Achtergrond verbruiksprofielen'!$C$94</f>
        <v>3.2000000000000001E-2</v>
      </c>
      <c r="AD86" s="50">
        <f>'Achtergrond verbruiksprofielen'!$C$94</f>
        <v>3.2000000000000001E-2</v>
      </c>
      <c r="AE86" s="50">
        <f>'Achtergrond verbruiksprofielen'!$C$94</f>
        <v>3.2000000000000001E-2</v>
      </c>
      <c r="AF86" s="50">
        <f>'Achtergrond verbruiksprofielen'!$C$94</f>
        <v>3.2000000000000001E-2</v>
      </c>
      <c r="AG86" s="50">
        <f>'Achtergrond verbruiksprofielen'!$C$94</f>
        <v>3.2000000000000001E-2</v>
      </c>
      <c r="AH86" s="50">
        <f>'Achtergrond verbruiksprofielen'!$C$94</f>
        <v>3.2000000000000001E-2</v>
      </c>
      <c r="AI86" s="60"/>
      <c r="AJ86" s="60"/>
      <c r="AK86" s="60"/>
    </row>
    <row r="87" spans="1:37" ht="18" x14ac:dyDescent="0.4">
      <c r="A87" s="11" t="s">
        <v>178</v>
      </c>
      <c r="B87" s="11"/>
      <c r="C87" s="11"/>
      <c r="D87" s="223" t="s">
        <v>167</v>
      </c>
      <c r="E87" s="35">
        <v>0</v>
      </c>
      <c r="F87" s="35">
        <v>0</v>
      </c>
      <c r="G87" s="35">
        <v>0</v>
      </c>
      <c r="H87" s="35">
        <f>_xlfn.FORECAST.LINEAR(H$6,'Achtergrond verbruiksprofielen'!$C$98:$D$98,'Achtergrond verbruiksprofielen'!$C$96:$D$96)</f>
        <v>1.3999999999995794E-2</v>
      </c>
      <c r="I87" s="35">
        <f>_xlfn.FORECAST.LINEAR(I$6,'Achtergrond verbruiksprofielen'!$C$98:$D$98,'Achtergrond verbruiksprofielen'!$C$96:$D$96)</f>
        <v>2.9333333333330103E-2</v>
      </c>
      <c r="J87" s="35">
        <f>_xlfn.FORECAST.LINEAR(J$6,'Achtergrond verbruiksprofielen'!$C$98:$D$98,'Achtergrond verbruiksprofielen'!$C$96:$D$96)</f>
        <v>4.4666666666664412E-2</v>
      </c>
      <c r="K87" s="35">
        <f>_xlfn.FORECAST.LINEAR(K$6,'Achtergrond verbruiksprofielen'!$C$98:$D$98,'Achtergrond verbruiksprofielen'!$C$96:$D$96)</f>
        <v>5.9999999999998721E-2</v>
      </c>
      <c r="L87" s="35">
        <f>_xlfn.FORECAST.LINEAR(L$6,'Achtergrond verbruiksprofielen'!$C$98:$D$98,'Achtergrond verbruiksprofielen'!$C$96:$D$96)</f>
        <v>7.5333333333329477E-2</v>
      </c>
      <c r="M87" s="35">
        <f>_xlfn.FORECAST.LINEAR(M$6,'Achtergrond verbruiksprofielen'!$C$98:$D$98,'Achtergrond verbruiksprofielen'!$C$96:$D$96)</f>
        <v>9.0666666666663787E-2</v>
      </c>
      <c r="N87" s="35">
        <f>_xlfn.FORECAST.LINEAR(N$6,'Achtergrond verbruiksprofielen'!$C$98:$D$98,'Achtergrond verbruiksprofielen'!$C$96:$D$96)</f>
        <v>0.1059999999999981</v>
      </c>
      <c r="O87" s="35">
        <f>_xlfn.FORECAST.LINEAR(O$6,'Achtergrond verbruiksprofielen'!$C$98:$D$98,'Achtergrond verbruiksprofielen'!$C$96:$D$96)</f>
        <v>0.1213333333333324</v>
      </c>
      <c r="P87" s="35">
        <f>_xlfn.FORECAST.LINEAR(P$6,'Achtergrond verbruiksprofielen'!$C$98:$D$98,'Achtergrond verbruiksprofielen'!$C$96:$D$96)</f>
        <v>0.13666666666666316</v>
      </c>
      <c r="Q87" s="35">
        <f>_xlfn.FORECAST.LINEAR(Q$6,'Achtergrond verbruiksprofielen'!$C$98:$D$98,'Achtergrond verbruiksprofielen'!$C$96:$D$96)</f>
        <v>0.15199999999999747</v>
      </c>
      <c r="R87" s="35">
        <f>_xlfn.FORECAST.LINEAR(R$6,'Achtergrond verbruiksprofielen'!$C$98:$D$98,'Achtergrond verbruiksprofielen'!$C$96:$D$96)</f>
        <v>0.16733333333333178</v>
      </c>
      <c r="S87" s="35">
        <f>_xlfn.FORECAST.LINEAR(S$6,'Achtergrond verbruiksprofielen'!$C$98:$D$98,'Achtergrond verbruiksprofielen'!$C$96:$D$96)</f>
        <v>0.18266666666666254</v>
      </c>
      <c r="T87" s="35">
        <f>_xlfn.FORECAST.LINEAR(T$6,'Achtergrond verbruiksprofielen'!$C$98:$D$98,'Achtergrond verbruiksprofielen'!$C$96:$D$96)</f>
        <v>0.19799999999999685</v>
      </c>
      <c r="U87" s="35">
        <f>_xlfn.FORECAST.LINEAR(U$6,'Achtergrond verbruiksprofielen'!$C$98:$D$98,'Achtergrond verbruiksprofielen'!$C$96:$D$96)</f>
        <v>0.21333333333333115</v>
      </c>
      <c r="V87" s="35">
        <f>_xlfn.FORECAST.LINEAR(V$6,'Achtergrond verbruiksprofielen'!$C$98:$D$98,'Achtergrond verbruiksprofielen'!$C$96:$D$96)</f>
        <v>0.22866666666666546</v>
      </c>
      <c r="W87" s="35">
        <f>_xlfn.FORECAST.LINEAR(W$6,'Achtergrond verbruiksprofielen'!$C$98:$D$98,'Achtergrond verbruiksprofielen'!$C$96:$D$96)</f>
        <v>0.24399999999999622</v>
      </c>
      <c r="X87" s="35">
        <f>_xlfn.FORECAST.LINEAR(X$6,'Achtergrond verbruiksprofielen'!$C$98:$D$98,'Achtergrond verbruiksprofielen'!$C$96:$D$96)</f>
        <v>0.25933333333333053</v>
      </c>
      <c r="Y87" s="35">
        <f>_xlfn.FORECAST.LINEAR(Y$6,'Achtergrond verbruiksprofielen'!$C$98:$D$98,'Achtergrond verbruiksprofielen'!$C$96:$D$96)</f>
        <v>0.27466666666666484</v>
      </c>
      <c r="Z87" s="35">
        <f>_xlfn.FORECAST.LINEAR(Z$6,'Achtergrond verbruiksprofielen'!$C$98:$D$98,'Achtergrond verbruiksprofielen'!$C$96:$D$96)</f>
        <v>0.28999999999999915</v>
      </c>
      <c r="AA87" s="35">
        <f>_xlfn.FORECAST.LINEAR(AA$6,'Achtergrond verbruiksprofielen'!$C$98:$D$98,'Achtergrond verbruiksprofielen'!$C$96:$D$96)</f>
        <v>0.3053333333333299</v>
      </c>
      <c r="AB87" s="35">
        <f>_xlfn.FORECAST.LINEAR(AB$6,'Achtergrond verbruiksprofielen'!$C$98:$D$98,'Achtergrond verbruiksprofielen'!$C$96:$D$96)</f>
        <v>0.32066666666666421</v>
      </c>
      <c r="AC87" s="35">
        <f>_xlfn.FORECAST.LINEAR(AC$6,'Achtergrond verbruiksprofielen'!$C$98:$D$98,'Achtergrond verbruiksprofielen'!$C$96:$D$96)</f>
        <v>0.33599999999999852</v>
      </c>
      <c r="AD87" s="35">
        <f>'Achtergrond verbruiksprofielen'!$D$98</f>
        <v>0.06</v>
      </c>
      <c r="AE87" s="35">
        <f>'Achtergrond verbruiksprofielen'!$D$98</f>
        <v>0.06</v>
      </c>
      <c r="AF87" s="35">
        <f>'Achtergrond verbruiksprofielen'!$D$98</f>
        <v>0.06</v>
      </c>
      <c r="AG87" s="35">
        <f>'Achtergrond verbruiksprofielen'!$D$98</f>
        <v>0.06</v>
      </c>
      <c r="AH87" s="35">
        <f>'Achtergrond verbruiksprofielen'!$D$98</f>
        <v>0.06</v>
      </c>
      <c r="AI87" s="60"/>
      <c r="AJ87" s="60"/>
      <c r="AK87" s="60"/>
    </row>
    <row r="88" spans="1:37" ht="18" x14ac:dyDescent="0.3">
      <c r="A88" s="11" t="s">
        <v>86</v>
      </c>
      <c r="B88" s="11"/>
      <c r="C88" s="11"/>
      <c r="D88" s="33" t="s">
        <v>62</v>
      </c>
      <c r="E88" s="35">
        <f>'Achtergrond verbruiksprofielen'!$C$117</f>
        <v>6.8769565710448774E-2</v>
      </c>
      <c r="F88" s="35">
        <f>'Achtergrond verbruiksprofielen'!$C$117+(F72-'Achtergrond verbruiksprofielen'!$C$115)*('Achtergrond verbruiksprofielen'!$D$117-'Achtergrond verbruiksprofielen'!$C$117)/('Achtergrond verbruiksprofielen'!$D$115-'Achtergrond verbruiksprofielen'!$C$115)</f>
        <v>7.1003806787863957E-2</v>
      </c>
      <c r="G88" s="35">
        <f>'Achtergrond verbruiksprofielen'!$C$117+(G72-'Achtergrond verbruiksprofielen'!$C$115)*('Achtergrond verbruiksprofielen'!$D$117-'Achtergrond verbruiksprofielen'!$C$117)/('Achtergrond verbruiksprofielen'!$D$115-'Achtergrond verbruiksprofielen'!$C$115)</f>
        <v>7.3238047865279141E-2</v>
      </c>
      <c r="H88" s="35">
        <f>'Achtergrond verbruiksprofielen'!$C$117+(H72-'Achtergrond verbruiksprofielen'!$C$115)*('Achtergrond verbruiksprofielen'!$D$117-'Achtergrond verbruiksprofielen'!$C$117)/('Achtergrond verbruiksprofielen'!$D$115-'Achtergrond verbruiksprofielen'!$C$115)</f>
        <v>7.547228894269431E-2</v>
      </c>
      <c r="I88" s="35">
        <f>'Achtergrond verbruiksprofielen'!$C$117+(I72-'Achtergrond verbruiksprofielen'!$C$115)*('Achtergrond verbruiksprofielen'!$D$117-'Achtergrond verbruiksprofielen'!$C$117)/('Achtergrond verbruiksprofielen'!$D$115-'Achtergrond verbruiksprofielen'!$C$115)</f>
        <v>7.7706530020109493E-2</v>
      </c>
      <c r="J88" s="35">
        <f>'Achtergrond verbruiksprofielen'!$D$117</f>
        <v>7.9940771097524677E-2</v>
      </c>
      <c r="K88" s="35">
        <f>'Achtergrond verbruiksprofielen'!$D$117+(K72-'Achtergrond verbruiksprofielen'!$D$115)*('Achtergrond verbruiksprofielen'!$E$117-'Achtergrond verbruiksprofielen'!$D$117)/('Achtergrond verbruiksprofielen'!$E$115-'Achtergrond verbruiksprofielen'!$D$115)</f>
        <v>7.7964356310719726E-2</v>
      </c>
      <c r="L88" s="35">
        <f>'Achtergrond verbruiksprofielen'!$D$117+(L72-'Achtergrond verbruiksprofielen'!$D$115)*('Achtergrond verbruiksprofielen'!$E$117-'Achtergrond verbruiksprofielen'!$D$117)/('Achtergrond verbruiksprofielen'!$E$115-'Achtergrond verbruiksprofielen'!$D$115)</f>
        <v>7.598794152391479E-2</v>
      </c>
      <c r="M88" s="35">
        <f>'Achtergrond verbruiksprofielen'!$D$117+(M72-'Achtergrond verbruiksprofielen'!$D$115)*('Achtergrond verbruiksprofielen'!$E$117-'Achtergrond verbruiksprofielen'!$D$117)/('Achtergrond verbruiksprofielen'!$E$115-'Achtergrond verbruiksprofielen'!$D$115)</f>
        <v>7.401152673710984E-2</v>
      </c>
      <c r="N88" s="35">
        <f>'Achtergrond verbruiksprofielen'!$D$117+(N72-'Achtergrond verbruiksprofielen'!$D$115)*('Achtergrond verbruiksprofielen'!$E$117-'Achtergrond verbruiksprofielen'!$D$117)/('Achtergrond verbruiksprofielen'!$E$115-'Achtergrond verbruiksprofielen'!$D$115)</f>
        <v>7.2035111950304903E-2</v>
      </c>
      <c r="O88" s="35">
        <f>'Achtergrond verbruiksprofielen'!$E$117</f>
        <v>7.0058697163499953E-2</v>
      </c>
      <c r="P88" s="35">
        <f>'Achtergrond verbruiksprofielen'!$E$117+(P72-'Achtergrond verbruiksprofielen'!$E$115)*('Achtergrond verbruiksprofielen'!$F$117-'Achtergrond verbruiksprofielen'!$E$117)/('Achtergrond verbruiksprofielen'!$F$115-'Achtergrond verbruiksprofielen'!$E$115)</f>
        <v>6.9780115609382687E-2</v>
      </c>
      <c r="Q88" s="35">
        <f>'Achtergrond verbruiksprofielen'!$E$117+(Q72-'Achtergrond verbruiksprofielen'!$E$115)*('Achtergrond verbruiksprofielen'!$F$117-'Achtergrond verbruiksprofielen'!$E$117)/('Achtergrond verbruiksprofielen'!$F$115-'Achtergrond verbruiksprofielen'!$E$115)</f>
        <v>6.9501534055265421E-2</v>
      </c>
      <c r="R88" s="35">
        <f>'Achtergrond verbruiksprofielen'!$E$117+(R72-'Achtergrond verbruiksprofielen'!$E$115)*('Achtergrond verbruiksprofielen'!$F$117-'Achtergrond verbruiksprofielen'!$E$117)/('Achtergrond verbruiksprofielen'!$F$115-'Achtergrond verbruiksprofielen'!$E$115)</f>
        <v>6.9222952501148169E-2</v>
      </c>
      <c r="S88" s="35">
        <f>'Achtergrond verbruiksprofielen'!$E$117+(S72-'Achtergrond verbruiksprofielen'!$E$115)*('Achtergrond verbruiksprofielen'!$F$117-'Achtergrond verbruiksprofielen'!$E$117)/('Achtergrond verbruiksprofielen'!$F$115-'Achtergrond verbruiksprofielen'!$E$115)</f>
        <v>6.8944370947030903E-2</v>
      </c>
      <c r="T88" s="35">
        <f>'Achtergrond verbruiksprofielen'!$F$117</f>
        <v>6.8665789392913637E-2</v>
      </c>
      <c r="U88" s="35">
        <f>'Achtergrond verbruiksprofielen'!$F$117+(U72-'Achtergrond verbruiksprofielen'!$F$115)*('Achtergrond verbruiksprofielen'!$G$117-'Achtergrond verbruiksprofielen'!$F$117)/('Achtergrond verbruiksprofielen'!$G$115-'Achtergrond verbruiksprofielen'!$F$115)</f>
        <v>6.9637407728154355E-2</v>
      </c>
      <c r="V88" s="35">
        <f>'Achtergrond verbruiksprofielen'!$F$117+(V72-'Achtergrond verbruiksprofielen'!$F$115)*('Achtergrond verbruiksprofielen'!$G$117-'Achtergrond verbruiksprofielen'!$F$117)/('Achtergrond verbruiksprofielen'!$G$115-'Achtergrond verbruiksprofielen'!$F$115)</f>
        <v>7.0609026063395072E-2</v>
      </c>
      <c r="W88" s="35">
        <f>'Achtergrond verbruiksprofielen'!$F$117+(W72-'Achtergrond verbruiksprofielen'!$F$115)*('Achtergrond verbruiksprofielen'!$G$117-'Achtergrond verbruiksprofielen'!$F$117)/('Achtergrond verbruiksprofielen'!$G$115-'Achtergrond verbruiksprofielen'!$F$115)</f>
        <v>7.1580644398635776E-2</v>
      </c>
      <c r="X88" s="35">
        <f>'Achtergrond verbruiksprofielen'!$F$117+(X72-'Achtergrond verbruiksprofielen'!$F$115)*('Achtergrond verbruiksprofielen'!$G$117-'Achtergrond verbruiksprofielen'!$F$117)/('Achtergrond verbruiksprofielen'!$G$115-'Achtergrond verbruiksprofielen'!$F$115)</f>
        <v>7.2552262733876494E-2</v>
      </c>
      <c r="Y88" s="35">
        <f>'Achtergrond verbruiksprofielen'!$G$117</f>
        <v>7.3523881069117211E-2</v>
      </c>
      <c r="Z88" s="35">
        <f>'Achtergrond verbruiksprofielen'!$G$117+(Z72-'Achtergrond verbruiksprofielen'!$G$115)*('Achtergrond verbruiksprofielen'!$H$117-'Achtergrond verbruiksprofielen'!$G$117)/('Achtergrond verbruiksprofielen'!$H$115-'Achtergrond verbruiksprofielen'!$G$115)</f>
        <v>7.1648075787872745E-2</v>
      </c>
      <c r="AA88" s="35">
        <f>'Achtergrond verbruiksprofielen'!$G$117+(AA72-'Achtergrond verbruiksprofielen'!$G$115)*('Achtergrond verbruiksprofielen'!$H$117-'Achtergrond verbruiksprofielen'!$G$117)/('Achtergrond verbruiksprofielen'!$H$115-'Achtergrond verbruiksprofielen'!$G$115)</f>
        <v>6.9772270506628264E-2</v>
      </c>
      <c r="AB88" s="35">
        <f>'Achtergrond verbruiksprofielen'!$G$117+(AB72-'Achtergrond verbruiksprofielen'!$G$115)*('Achtergrond verbruiksprofielen'!$H$117-'Achtergrond verbruiksprofielen'!$G$117)/('Achtergrond verbruiksprofielen'!$H$115-'Achtergrond verbruiksprofielen'!$G$115)</f>
        <v>6.7896465225383798E-2</v>
      </c>
      <c r="AC88" s="35">
        <f>'Achtergrond verbruiksprofielen'!$G$117+(AC72-'Achtergrond verbruiksprofielen'!$G$115)*('Achtergrond verbruiksprofielen'!$H$117-'Achtergrond verbruiksprofielen'!$G$117)/('Achtergrond verbruiksprofielen'!$H$115-'Achtergrond verbruiksprofielen'!$G$115)</f>
        <v>6.6020659944139318E-2</v>
      </c>
      <c r="AD88" s="35">
        <f>'Achtergrond verbruiksprofielen'!$H$117</f>
        <v>6.4144854662894851E-2</v>
      </c>
      <c r="AE88" s="35">
        <f>'Achtergrond verbruiksprofielen'!$H$117</f>
        <v>6.4144854662894851E-2</v>
      </c>
      <c r="AF88" s="35">
        <f>'Achtergrond verbruiksprofielen'!$H$117</f>
        <v>6.4144854662894851E-2</v>
      </c>
      <c r="AG88" s="35">
        <f>'Achtergrond verbruiksprofielen'!$H$117</f>
        <v>6.4144854662894851E-2</v>
      </c>
      <c r="AH88" s="35">
        <f>'Achtergrond verbruiksprofielen'!$H$117</f>
        <v>6.4144854662894851E-2</v>
      </c>
      <c r="AI88" s="60"/>
      <c r="AJ88" s="60"/>
      <c r="AK88" s="60"/>
    </row>
    <row r="89" spans="1:37" ht="15.6" x14ac:dyDescent="0.3">
      <c r="A89" s="11" t="s">
        <v>87</v>
      </c>
      <c r="B89" s="11"/>
      <c r="C89" s="33"/>
      <c r="D89" s="33" t="s">
        <v>88</v>
      </c>
      <c r="E89" s="361">
        <f>'Achtergrond verbruiksprofielen'!$C$118</f>
        <v>4730</v>
      </c>
      <c r="F89" s="361">
        <f>'Achtergrond verbruiksprofielen'!$C$118+(F72-'Achtergrond verbruiksprofielen'!$C$115)*('Achtergrond verbruiksprofielen'!$D$118-'Achtergrond verbruiksprofielen'!$C$118)/('Achtergrond verbruiksprofielen'!$D$115-'Achtergrond verbruiksprofielen'!$C$115)</f>
        <v>4730</v>
      </c>
      <c r="G89" s="361">
        <f>'Achtergrond verbruiksprofielen'!$C$118+(G72-'Achtergrond verbruiksprofielen'!$C$115)*('Achtergrond verbruiksprofielen'!$D$118-'Achtergrond verbruiksprofielen'!$C$118)/('Achtergrond verbruiksprofielen'!$D$115-'Achtergrond verbruiksprofielen'!$C$115)</f>
        <v>4730</v>
      </c>
      <c r="H89" s="361">
        <f>'Achtergrond verbruiksprofielen'!$C$118+(H72-'Achtergrond verbruiksprofielen'!$C$115)*('Achtergrond verbruiksprofielen'!$D$118-'Achtergrond verbruiksprofielen'!$C$118)/('Achtergrond verbruiksprofielen'!$D$115-'Achtergrond verbruiksprofielen'!$C$115)</f>
        <v>4730</v>
      </c>
      <c r="I89" s="361">
        <f>'Achtergrond verbruiksprofielen'!$C$118+(I72-'Achtergrond verbruiksprofielen'!$C$115)*('Achtergrond verbruiksprofielen'!$D$118-'Achtergrond verbruiksprofielen'!$C$118)/('Achtergrond verbruiksprofielen'!$D$115-'Achtergrond verbruiksprofielen'!$C$115)</f>
        <v>4730</v>
      </c>
      <c r="J89" s="361">
        <f>'Achtergrond verbruiksprofielen'!$D$118</f>
        <v>4730</v>
      </c>
      <c r="K89" s="361">
        <f>'Achtergrond verbruiksprofielen'!$D$118+(K72-'Achtergrond verbruiksprofielen'!$D$115)*('Achtergrond verbruiksprofielen'!$E$118-'Achtergrond verbruiksprofielen'!$D$118)/('Achtergrond verbruiksprofielen'!$E$115-'Achtergrond verbruiksprofielen'!$D$115)</f>
        <v>4730</v>
      </c>
      <c r="L89" s="361">
        <f>'Achtergrond verbruiksprofielen'!$D$118+(L72-'Achtergrond verbruiksprofielen'!$D$115)*('Achtergrond verbruiksprofielen'!$E$118-'Achtergrond verbruiksprofielen'!$D$118)/('Achtergrond verbruiksprofielen'!$E$115-'Achtergrond verbruiksprofielen'!$D$115)</f>
        <v>4730</v>
      </c>
      <c r="M89" s="361">
        <f>'Achtergrond verbruiksprofielen'!$D$118+(M72-'Achtergrond verbruiksprofielen'!$D$115)*('Achtergrond verbruiksprofielen'!$E$118-'Achtergrond verbruiksprofielen'!$D$118)/('Achtergrond verbruiksprofielen'!$E$115-'Achtergrond verbruiksprofielen'!$D$115)</f>
        <v>4730</v>
      </c>
      <c r="N89" s="361">
        <f>'Achtergrond verbruiksprofielen'!$D$118+(N72-'Achtergrond verbruiksprofielen'!$D$115)*('Achtergrond verbruiksprofielen'!$E$118-'Achtergrond verbruiksprofielen'!$D$118)/('Achtergrond verbruiksprofielen'!$E$115-'Achtergrond verbruiksprofielen'!$D$115)</f>
        <v>4730</v>
      </c>
      <c r="O89" s="361">
        <f>'Achtergrond verbruiksprofielen'!$E$118</f>
        <v>4730</v>
      </c>
      <c r="P89" s="361">
        <f>'Achtergrond verbruiksprofielen'!$E$118+(P72-'Achtergrond verbruiksprofielen'!$E$115)*('Achtergrond verbruiksprofielen'!$F$118-'Achtergrond verbruiksprofielen'!$E$118)/('Achtergrond verbruiksprofielen'!$F$115-'Achtergrond verbruiksprofielen'!$E$115)</f>
        <v>4730</v>
      </c>
      <c r="Q89" s="361">
        <f>'Achtergrond verbruiksprofielen'!$E$118+(Q72-'Achtergrond verbruiksprofielen'!$E$115)*('Achtergrond verbruiksprofielen'!$F$118-'Achtergrond verbruiksprofielen'!$E$118)/('Achtergrond verbruiksprofielen'!$F$115-'Achtergrond verbruiksprofielen'!$E$115)</f>
        <v>4730</v>
      </c>
      <c r="R89" s="361">
        <f>'Achtergrond verbruiksprofielen'!$E$118+(R72-'Achtergrond verbruiksprofielen'!$E$115)*('Achtergrond verbruiksprofielen'!$F$118-'Achtergrond verbruiksprofielen'!$E$118)/('Achtergrond verbruiksprofielen'!$F$115-'Achtergrond verbruiksprofielen'!$E$115)</f>
        <v>4730</v>
      </c>
      <c r="S89" s="361">
        <f>'Achtergrond verbruiksprofielen'!$E$118+(S72-'Achtergrond verbruiksprofielen'!$E$115)*('Achtergrond verbruiksprofielen'!$F$118-'Achtergrond verbruiksprofielen'!$E$118)/('Achtergrond verbruiksprofielen'!$F$115-'Achtergrond verbruiksprofielen'!$E$115)</f>
        <v>4730</v>
      </c>
      <c r="T89" s="361">
        <f>'Achtergrond verbruiksprofielen'!$F$118</f>
        <v>4730</v>
      </c>
      <c r="U89" s="361">
        <f>'Achtergrond verbruiksprofielen'!$F$118+(U72-'Achtergrond verbruiksprofielen'!$F$115)*('Achtergrond verbruiksprofielen'!$G$118-'Achtergrond verbruiksprofielen'!$F$118)/('Achtergrond verbruiksprofielen'!$G$115-'Achtergrond verbruiksprofielen'!$F$115)</f>
        <v>4730</v>
      </c>
      <c r="V89" s="361">
        <f>'Achtergrond verbruiksprofielen'!$F$118+(V72-'Achtergrond verbruiksprofielen'!$F$115)*('Achtergrond verbruiksprofielen'!$G$118-'Achtergrond verbruiksprofielen'!$F$118)/('Achtergrond verbruiksprofielen'!$G$115-'Achtergrond verbruiksprofielen'!$F$115)</f>
        <v>4730</v>
      </c>
      <c r="W89" s="361">
        <f>'Achtergrond verbruiksprofielen'!$F$118+(W72-'Achtergrond verbruiksprofielen'!$F$115)*('Achtergrond verbruiksprofielen'!$G$118-'Achtergrond verbruiksprofielen'!$F$118)/('Achtergrond verbruiksprofielen'!$G$115-'Achtergrond verbruiksprofielen'!$F$115)</f>
        <v>4730</v>
      </c>
      <c r="X89" s="361">
        <f>'Achtergrond verbruiksprofielen'!$F$118+(X72-'Achtergrond verbruiksprofielen'!$F$115)*('Achtergrond verbruiksprofielen'!$G$118-'Achtergrond verbruiksprofielen'!$F$118)/('Achtergrond verbruiksprofielen'!$G$115-'Achtergrond verbruiksprofielen'!$F$115)</f>
        <v>4730</v>
      </c>
      <c r="Y89" s="361">
        <f>'Achtergrond verbruiksprofielen'!$G$118</f>
        <v>4730</v>
      </c>
      <c r="Z89" s="361">
        <f>'Achtergrond verbruiksprofielen'!$G$118+(Z72-'Achtergrond verbruiksprofielen'!$G$115)*('Achtergrond verbruiksprofielen'!$H$118-'Achtergrond verbruiksprofielen'!$G$118)/('Achtergrond verbruiksprofielen'!$H$115-'Achtergrond verbruiksprofielen'!$G$115)</f>
        <v>4730</v>
      </c>
      <c r="AA89" s="361">
        <f>'Achtergrond verbruiksprofielen'!$G$118+(AA72-'Achtergrond verbruiksprofielen'!$G$115)*('Achtergrond verbruiksprofielen'!$H$118-'Achtergrond verbruiksprofielen'!$G$118)/('Achtergrond verbruiksprofielen'!$H$115-'Achtergrond verbruiksprofielen'!$G$115)</f>
        <v>4730</v>
      </c>
      <c r="AB89" s="361">
        <f>'Achtergrond verbruiksprofielen'!$G$118+(AB72-'Achtergrond verbruiksprofielen'!$G$115)*('Achtergrond verbruiksprofielen'!$H$118-'Achtergrond verbruiksprofielen'!$G$118)/('Achtergrond verbruiksprofielen'!$H$115-'Achtergrond verbruiksprofielen'!$G$115)</f>
        <v>4730</v>
      </c>
      <c r="AC89" s="361">
        <f>'Achtergrond verbruiksprofielen'!$G$118+(AC72-'Achtergrond verbruiksprofielen'!$G$115)*('Achtergrond verbruiksprofielen'!$H$118-'Achtergrond verbruiksprofielen'!$G$118)/('Achtergrond verbruiksprofielen'!$H$115-'Achtergrond verbruiksprofielen'!$G$115)</f>
        <v>4730</v>
      </c>
      <c r="AD89" s="361">
        <f>'Achtergrond verbruiksprofielen'!$H$118</f>
        <v>4730</v>
      </c>
      <c r="AE89" s="361">
        <f>'Achtergrond verbruiksprofielen'!$H$118</f>
        <v>4730</v>
      </c>
      <c r="AF89" s="361">
        <f>'Achtergrond verbruiksprofielen'!$H$118</f>
        <v>4730</v>
      </c>
      <c r="AG89" s="361">
        <f>'Achtergrond verbruiksprofielen'!$H$118</f>
        <v>4730</v>
      </c>
      <c r="AH89" s="361">
        <f>'Achtergrond verbruiksprofielen'!$H$118</f>
        <v>4730</v>
      </c>
      <c r="AI89" s="60"/>
      <c r="AJ89" s="60"/>
      <c r="AK89" s="60"/>
    </row>
    <row r="90" spans="1:37" x14ac:dyDescent="0.3">
      <c r="A90" s="60"/>
      <c r="B90" s="60"/>
      <c r="C90" s="60"/>
      <c r="D90" s="60"/>
      <c r="E90" s="341"/>
      <c r="F90" s="341"/>
      <c r="G90" s="341"/>
      <c r="H90" s="341"/>
      <c r="I90" s="341"/>
      <c r="J90" s="341"/>
      <c r="K90" s="341"/>
      <c r="L90" s="341"/>
      <c r="M90" s="341"/>
      <c r="N90" s="341"/>
      <c r="O90" s="341"/>
      <c r="P90" s="341"/>
      <c r="Q90" s="341"/>
      <c r="R90" s="341"/>
      <c r="S90" s="341"/>
      <c r="T90" s="341"/>
      <c r="U90" s="341"/>
      <c r="V90" s="341"/>
      <c r="W90" s="341"/>
      <c r="X90" s="341"/>
      <c r="Y90" s="341"/>
      <c r="Z90" s="341"/>
      <c r="AA90" s="341"/>
      <c r="AB90" s="341"/>
      <c r="AC90" s="341"/>
      <c r="AD90" s="341"/>
      <c r="AE90" s="341"/>
      <c r="AF90" s="341"/>
      <c r="AG90" s="341"/>
      <c r="AH90" s="341"/>
      <c r="AI90" s="60"/>
      <c r="AJ90" s="60"/>
      <c r="AK90" s="60"/>
    </row>
    <row r="91" spans="1:37" ht="15" thickBot="1" x14ac:dyDescent="0.35">
      <c r="A91" s="222"/>
      <c r="B91" s="222"/>
      <c r="C91" s="222"/>
      <c r="D91" s="222"/>
      <c r="E91" s="342"/>
      <c r="F91" s="342"/>
      <c r="G91" s="342"/>
      <c r="H91" s="342"/>
      <c r="I91" s="342"/>
      <c r="J91" s="342"/>
      <c r="K91" s="342"/>
      <c r="L91" s="342"/>
      <c r="M91" s="342"/>
      <c r="N91" s="342"/>
      <c r="O91" s="342"/>
      <c r="P91" s="342"/>
      <c r="Q91" s="342"/>
      <c r="R91" s="342"/>
      <c r="S91" s="342"/>
      <c r="T91" s="342"/>
      <c r="U91" s="342"/>
      <c r="V91" s="342"/>
      <c r="W91" s="342"/>
      <c r="X91" s="342"/>
      <c r="Y91" s="342"/>
      <c r="Z91" s="342"/>
      <c r="AA91" s="342"/>
      <c r="AB91" s="342"/>
      <c r="AC91" s="342"/>
      <c r="AD91" s="342"/>
      <c r="AE91" s="342"/>
      <c r="AF91" s="342"/>
      <c r="AG91" s="342"/>
      <c r="AH91" s="342"/>
      <c r="AI91" s="222"/>
      <c r="AJ91" s="60"/>
      <c r="AK91" s="60"/>
    </row>
    <row r="92" spans="1:37" x14ac:dyDescent="0.3">
      <c r="A92" s="60"/>
      <c r="B92" s="60"/>
      <c r="C92" s="60"/>
      <c r="D92" s="60"/>
      <c r="E92" s="341"/>
      <c r="F92" s="341"/>
      <c r="G92" s="341"/>
      <c r="H92" s="341"/>
      <c r="I92" s="341"/>
      <c r="J92" s="341"/>
      <c r="K92" s="341"/>
      <c r="L92" s="341"/>
      <c r="M92" s="341"/>
      <c r="N92" s="341"/>
      <c r="O92" s="341"/>
      <c r="P92" s="341"/>
      <c r="Q92" s="341"/>
      <c r="R92" s="341"/>
      <c r="S92" s="341"/>
      <c r="T92" s="341"/>
      <c r="U92" s="341"/>
      <c r="V92" s="341"/>
      <c r="W92" s="341"/>
      <c r="X92" s="341"/>
      <c r="Y92" s="341"/>
      <c r="Z92" s="341"/>
      <c r="AA92" s="341"/>
      <c r="AB92" s="341"/>
      <c r="AC92" s="341"/>
      <c r="AD92" s="341"/>
      <c r="AE92" s="341"/>
      <c r="AF92" s="341"/>
      <c r="AG92" s="341"/>
      <c r="AH92" s="341"/>
      <c r="AI92" s="60"/>
      <c r="AJ92" s="60"/>
      <c r="AK92" s="60"/>
    </row>
    <row r="93" spans="1:37" ht="21" x14ac:dyDescent="0.4">
      <c r="A93" s="221" t="str">
        <f>'Dropdown lists'!H7</f>
        <v>25% FLEX DAILY</v>
      </c>
      <c r="B93" s="66"/>
      <c r="C93" s="11"/>
      <c r="D93" s="11"/>
      <c r="E93" s="341"/>
      <c r="F93" s="341"/>
      <c r="G93" s="341"/>
      <c r="H93" s="341"/>
      <c r="I93" s="341"/>
      <c r="J93" s="341"/>
      <c r="K93" s="341"/>
      <c r="L93" s="341"/>
      <c r="M93" s="341"/>
      <c r="N93" s="341"/>
      <c r="O93" s="341"/>
      <c r="P93" s="341"/>
      <c r="Q93" s="341"/>
      <c r="R93" s="341"/>
      <c r="S93" s="341"/>
      <c r="T93" s="341"/>
      <c r="U93" s="341"/>
      <c r="V93" s="341"/>
      <c r="W93" s="341"/>
      <c r="X93" s="341"/>
      <c r="Y93" s="341"/>
      <c r="Z93" s="341"/>
      <c r="AA93" s="341"/>
      <c r="AB93" s="341"/>
      <c r="AC93" s="341"/>
      <c r="AD93" s="341"/>
      <c r="AE93" s="341"/>
      <c r="AF93" s="341"/>
      <c r="AG93" s="341"/>
      <c r="AH93" s="341"/>
      <c r="AI93" s="60"/>
      <c r="AJ93" s="60"/>
      <c r="AK93" s="60"/>
    </row>
    <row r="94" spans="1:37" ht="15.6" x14ac:dyDescent="0.3">
      <c r="A94" s="11"/>
      <c r="B94" s="11"/>
      <c r="C94" s="11"/>
      <c r="D94" s="11"/>
      <c r="E94" s="341">
        <v>2025</v>
      </c>
      <c r="F94" s="341">
        <v>2026</v>
      </c>
      <c r="G94" s="341">
        <v>2027</v>
      </c>
      <c r="H94" s="341">
        <v>2028</v>
      </c>
      <c r="I94" s="341">
        <v>2029</v>
      </c>
      <c r="J94" s="341">
        <v>2030</v>
      </c>
      <c r="K94" s="341">
        <v>2031</v>
      </c>
      <c r="L94" s="341">
        <v>2032</v>
      </c>
      <c r="M94" s="341">
        <v>2033</v>
      </c>
      <c r="N94" s="341">
        <v>2034</v>
      </c>
      <c r="O94" s="341">
        <v>2035</v>
      </c>
      <c r="P94" s="341">
        <v>2036</v>
      </c>
      <c r="Q94" s="341">
        <v>2037</v>
      </c>
      <c r="R94" s="341">
        <v>2038</v>
      </c>
      <c r="S94" s="341">
        <v>2039</v>
      </c>
      <c r="T94" s="341">
        <v>2040</v>
      </c>
      <c r="U94" s="341">
        <v>2041</v>
      </c>
      <c r="V94" s="341">
        <v>2042</v>
      </c>
      <c r="W94" s="341">
        <v>2043</v>
      </c>
      <c r="X94" s="341">
        <v>2044</v>
      </c>
      <c r="Y94" s="341">
        <v>2045</v>
      </c>
      <c r="Z94" s="341">
        <v>2046</v>
      </c>
      <c r="AA94" s="341">
        <v>2047</v>
      </c>
      <c r="AB94" s="341">
        <v>2048</v>
      </c>
      <c r="AC94" s="341">
        <v>2049</v>
      </c>
      <c r="AD94" s="341">
        <v>2050</v>
      </c>
      <c r="AE94" s="341">
        <v>2051</v>
      </c>
      <c r="AF94" s="341">
        <v>2052</v>
      </c>
      <c r="AG94" s="341">
        <v>2053</v>
      </c>
      <c r="AH94" s="341">
        <v>2054</v>
      </c>
      <c r="AI94" s="60"/>
      <c r="AJ94" s="60"/>
      <c r="AK94" s="60"/>
    </row>
    <row r="95" spans="1:37" ht="15.6" x14ac:dyDescent="0.3">
      <c r="A95" s="66" t="s">
        <v>80</v>
      </c>
      <c r="B95" s="11"/>
      <c r="C95" s="58"/>
      <c r="D95" s="58" t="s">
        <v>81</v>
      </c>
      <c r="E95" s="58">
        <v>1</v>
      </c>
      <c r="F95" s="58">
        <v>2</v>
      </c>
      <c r="G95" s="58">
        <v>3</v>
      </c>
      <c r="H95" s="58">
        <v>4</v>
      </c>
      <c r="I95" s="58">
        <v>5</v>
      </c>
      <c r="J95" s="58">
        <v>6</v>
      </c>
      <c r="K95" s="58">
        <v>7</v>
      </c>
      <c r="L95" s="58">
        <v>8</v>
      </c>
      <c r="M95" s="58">
        <v>9</v>
      </c>
      <c r="N95" s="58">
        <v>10</v>
      </c>
      <c r="O95" s="58">
        <v>11</v>
      </c>
      <c r="P95" s="58">
        <v>12</v>
      </c>
      <c r="Q95" s="58">
        <v>13</v>
      </c>
      <c r="R95" s="58">
        <v>14</v>
      </c>
      <c r="S95" s="58">
        <v>15</v>
      </c>
      <c r="T95" s="58">
        <v>16</v>
      </c>
      <c r="U95" s="58">
        <v>17</v>
      </c>
      <c r="V95" s="58">
        <v>18</v>
      </c>
      <c r="W95" s="58">
        <v>19</v>
      </c>
      <c r="X95" s="58">
        <v>20</v>
      </c>
      <c r="Y95" s="58">
        <v>21</v>
      </c>
      <c r="Z95" s="58">
        <v>22</v>
      </c>
      <c r="AA95" s="58">
        <v>23</v>
      </c>
      <c r="AB95" s="58">
        <v>24</v>
      </c>
      <c r="AC95" s="58">
        <v>25</v>
      </c>
      <c r="AD95" s="58">
        <v>26</v>
      </c>
      <c r="AE95" s="58">
        <v>27</v>
      </c>
      <c r="AF95" s="58">
        <v>28</v>
      </c>
      <c r="AG95" s="58">
        <v>29</v>
      </c>
      <c r="AH95" s="58">
        <v>30</v>
      </c>
      <c r="AI95" s="60"/>
      <c r="AJ95" s="60"/>
      <c r="AK95" s="60"/>
    </row>
    <row r="96" spans="1:37" ht="18" x14ac:dyDescent="0.3">
      <c r="A96" s="11" t="s">
        <v>82</v>
      </c>
      <c r="B96" s="11"/>
      <c r="C96" s="33"/>
      <c r="D96" s="33" t="s">
        <v>90</v>
      </c>
      <c r="E96" s="50">
        <f>'Achtergrond verbruiksprofielen'!$C$94</f>
        <v>3.2000000000000001E-2</v>
      </c>
      <c r="F96" s="50">
        <f>'Achtergrond verbruiksprofielen'!$C$94</f>
        <v>3.2000000000000001E-2</v>
      </c>
      <c r="G96" s="50">
        <f>'Achtergrond verbruiksprofielen'!$C$94</f>
        <v>3.2000000000000001E-2</v>
      </c>
      <c r="H96" s="50">
        <f>'Achtergrond verbruiksprofielen'!$C$94</f>
        <v>3.2000000000000001E-2</v>
      </c>
      <c r="I96" s="50">
        <f>'Achtergrond verbruiksprofielen'!$C$94</f>
        <v>3.2000000000000001E-2</v>
      </c>
      <c r="J96" s="50">
        <f>'Achtergrond verbruiksprofielen'!$C$94</f>
        <v>3.2000000000000001E-2</v>
      </c>
      <c r="K96" s="50">
        <f>'Achtergrond verbruiksprofielen'!$C$94</f>
        <v>3.2000000000000001E-2</v>
      </c>
      <c r="L96" s="50">
        <f>'Achtergrond verbruiksprofielen'!$C$94</f>
        <v>3.2000000000000001E-2</v>
      </c>
      <c r="M96" s="50">
        <f>'Achtergrond verbruiksprofielen'!$C$94</f>
        <v>3.2000000000000001E-2</v>
      </c>
      <c r="N96" s="50">
        <f>'Achtergrond verbruiksprofielen'!$C$94</f>
        <v>3.2000000000000001E-2</v>
      </c>
      <c r="O96" s="50">
        <f>'Achtergrond verbruiksprofielen'!$C$94</f>
        <v>3.2000000000000001E-2</v>
      </c>
      <c r="P96" s="50">
        <f>'Achtergrond verbruiksprofielen'!$C$94</f>
        <v>3.2000000000000001E-2</v>
      </c>
      <c r="Q96" s="50">
        <f>'Achtergrond verbruiksprofielen'!$C$94</f>
        <v>3.2000000000000001E-2</v>
      </c>
      <c r="R96" s="50">
        <f>'Achtergrond verbruiksprofielen'!$C$94</f>
        <v>3.2000000000000001E-2</v>
      </c>
      <c r="S96" s="50">
        <f>'Achtergrond verbruiksprofielen'!$C$94</f>
        <v>3.2000000000000001E-2</v>
      </c>
      <c r="T96" s="50">
        <f>'Achtergrond verbruiksprofielen'!$C$94</f>
        <v>3.2000000000000001E-2</v>
      </c>
      <c r="U96" s="50">
        <f>'Achtergrond verbruiksprofielen'!$C$94</f>
        <v>3.2000000000000001E-2</v>
      </c>
      <c r="V96" s="50">
        <f>'Achtergrond verbruiksprofielen'!$C$94</f>
        <v>3.2000000000000001E-2</v>
      </c>
      <c r="W96" s="50">
        <f>'Achtergrond verbruiksprofielen'!$C$94</f>
        <v>3.2000000000000001E-2</v>
      </c>
      <c r="X96" s="50">
        <f>'Achtergrond verbruiksprofielen'!$C$94</f>
        <v>3.2000000000000001E-2</v>
      </c>
      <c r="Y96" s="50">
        <f>'Achtergrond verbruiksprofielen'!$C$94</f>
        <v>3.2000000000000001E-2</v>
      </c>
      <c r="Z96" s="50">
        <f>'Achtergrond verbruiksprofielen'!$C$94</f>
        <v>3.2000000000000001E-2</v>
      </c>
      <c r="AA96" s="50">
        <f>'Achtergrond verbruiksprofielen'!$C$94</f>
        <v>3.2000000000000001E-2</v>
      </c>
      <c r="AB96" s="50">
        <f>'Achtergrond verbruiksprofielen'!$C$94</f>
        <v>3.2000000000000001E-2</v>
      </c>
      <c r="AC96" s="50">
        <f>'Achtergrond verbruiksprofielen'!$C$94</f>
        <v>3.2000000000000001E-2</v>
      </c>
      <c r="AD96" s="50">
        <f>'Achtergrond verbruiksprofielen'!$C$94</f>
        <v>3.2000000000000001E-2</v>
      </c>
      <c r="AE96" s="50">
        <f>'Achtergrond verbruiksprofielen'!$C$94</f>
        <v>3.2000000000000001E-2</v>
      </c>
      <c r="AF96" s="50">
        <f>'Achtergrond verbruiksprofielen'!$C$94</f>
        <v>3.2000000000000001E-2</v>
      </c>
      <c r="AG96" s="50">
        <f>'Achtergrond verbruiksprofielen'!$C$94</f>
        <v>3.2000000000000001E-2</v>
      </c>
      <c r="AH96" s="50">
        <f>'Achtergrond verbruiksprofielen'!$C$94</f>
        <v>3.2000000000000001E-2</v>
      </c>
      <c r="AI96" s="60"/>
      <c r="AJ96" s="60"/>
      <c r="AK96" s="60"/>
    </row>
    <row r="97" spans="1:37" ht="18" x14ac:dyDescent="0.4">
      <c r="A97" s="11" t="s">
        <v>178</v>
      </c>
      <c r="B97" s="11"/>
      <c r="C97" s="33"/>
      <c r="D97" s="223" t="s">
        <v>167</v>
      </c>
      <c r="E97" s="35">
        <v>0</v>
      </c>
      <c r="F97" s="35">
        <v>0</v>
      </c>
      <c r="G97" s="35">
        <v>0</v>
      </c>
      <c r="H97" s="35">
        <f>_xlfn.FORECAST.LINEAR(H$6,'Achtergrond verbruiksprofielen'!$C$10:$D$10,'Achtergrond verbruiksprofielen'!$C$8:$D$8)</f>
        <v>1.3999999999999346E-2</v>
      </c>
      <c r="I97" s="35">
        <f>_xlfn.FORECAST.LINEAR(I$6,'Achtergrond verbruiksprofielen'!$C$10:$D$10,'Achtergrond verbruiksprofielen'!$C$8:$D$8)</f>
        <v>1.7833333333332924E-2</v>
      </c>
      <c r="J97" s="35">
        <f>_xlfn.FORECAST.LINEAR(J$6,'Achtergrond verbruiksprofielen'!$C$10:$D$10,'Achtergrond verbruiksprofielen'!$C$8:$D$8)</f>
        <v>2.1666666666666501E-2</v>
      </c>
      <c r="K97" s="35">
        <f>_xlfn.FORECAST.LINEAR(K$6,'Achtergrond verbruiksprofielen'!$C$10:$D$10,'Achtergrond verbruiksprofielen'!$C$8:$D$8)</f>
        <v>2.5500000000000078E-2</v>
      </c>
      <c r="L97" s="35">
        <f>_xlfn.FORECAST.LINEAR(L$6,'Achtergrond verbruiksprofielen'!$C$10:$D$10,'Achtergrond verbruiksprofielen'!$C$8:$D$8)</f>
        <v>2.9333333333332767E-2</v>
      </c>
      <c r="M97" s="35">
        <f>_xlfn.FORECAST.LINEAR(M$6,'Achtergrond verbruiksprofielen'!$C$10:$D$10,'Achtergrond verbruiksprofielen'!$C$8:$D$8)</f>
        <v>3.3166666666666345E-2</v>
      </c>
      <c r="N97" s="35">
        <f>_xlfn.FORECAST.LINEAR(N$6,'Achtergrond verbruiksprofielen'!$C$10:$D$10,'Achtergrond verbruiksprofielen'!$C$8:$D$8)</f>
        <v>3.6999999999999922E-2</v>
      </c>
      <c r="O97" s="35">
        <f>_xlfn.FORECAST.LINEAR(O$6,'Achtergrond verbruiksprofielen'!$C$10:$D$10,'Achtergrond verbruiksprofielen'!$C$8:$D$8)</f>
        <v>4.0833333333333499E-2</v>
      </c>
      <c r="P97" s="35">
        <f>_xlfn.FORECAST.LINEAR(P$6,'Achtergrond verbruiksprofielen'!$C$10:$D$10,'Achtergrond verbruiksprofielen'!$C$8:$D$8)</f>
        <v>4.4666666666666188E-2</v>
      </c>
      <c r="Q97" s="35">
        <f>_xlfn.FORECAST.LINEAR(Q$6,'Achtergrond verbruiksprofielen'!$C$10:$D$10,'Achtergrond verbruiksprofielen'!$C$8:$D$8)</f>
        <v>4.8499999999999766E-2</v>
      </c>
      <c r="R97" s="35">
        <f>_xlfn.FORECAST.LINEAR(R$6,'Achtergrond verbruiksprofielen'!$C$10:$D$10,'Achtergrond verbruiksprofielen'!$C$8:$D$8)</f>
        <v>5.2333333333333343E-2</v>
      </c>
      <c r="S97" s="35">
        <f>_xlfn.FORECAST.LINEAR(S$6,'Achtergrond verbruiksprofielen'!$C$10:$D$10,'Achtergrond verbruiksprofielen'!$C$8:$D$8)</f>
        <v>5.6166666666666032E-2</v>
      </c>
      <c r="T97" s="35">
        <f>_xlfn.FORECAST.LINEAR(T$6,'Achtergrond verbruiksprofielen'!$C$10:$D$10,'Achtergrond verbruiksprofielen'!$C$8:$D$8)</f>
        <v>5.9999999999999609E-2</v>
      </c>
      <c r="U97" s="35">
        <f>_xlfn.FORECAST.LINEAR(U$6,'Achtergrond verbruiksprofielen'!$C$10:$D$10,'Achtergrond verbruiksprofielen'!$C$8:$D$8)</f>
        <v>6.3833333333333186E-2</v>
      </c>
      <c r="V97" s="35">
        <f>_xlfn.FORECAST.LINEAR(V$6,'Achtergrond verbruiksprofielen'!$C$10:$D$10,'Achtergrond verbruiksprofielen'!$C$8:$D$8)</f>
        <v>6.7666666666666764E-2</v>
      </c>
      <c r="W97" s="35">
        <f>_xlfn.FORECAST.LINEAR(W$6,'Achtergrond verbruiksprofielen'!$C$10:$D$10,'Achtergrond verbruiksprofielen'!$C$8:$D$8)</f>
        <v>7.1499999999999453E-2</v>
      </c>
      <c r="X97" s="35">
        <f>_xlfn.FORECAST.LINEAR(X$6,'Achtergrond verbruiksprofielen'!$C$10:$D$10,'Achtergrond verbruiksprofielen'!$C$8:$D$8)</f>
        <v>7.533333333333303E-2</v>
      </c>
      <c r="Y97" s="35">
        <f>_xlfn.FORECAST.LINEAR(Y$6,'Achtergrond verbruiksprofielen'!$C$10:$D$10,'Achtergrond verbruiksprofielen'!$C$8:$D$8)</f>
        <v>7.9166666666666607E-2</v>
      </c>
      <c r="Z97" s="35">
        <f>_xlfn.FORECAST.LINEAR(Z$6,'Achtergrond verbruiksprofielen'!$C$10:$D$10,'Achtergrond verbruiksprofielen'!$C$8:$D$8)</f>
        <v>8.3000000000000185E-2</v>
      </c>
      <c r="AA97" s="35">
        <f>_xlfn.FORECAST.LINEAR(AA$6,'Achtergrond verbruiksprofielen'!$C$10:$D$10,'Achtergrond verbruiksprofielen'!$C$8:$D$8)</f>
        <v>8.6833333333332874E-2</v>
      </c>
      <c r="AB97" s="35">
        <f>_xlfn.FORECAST.LINEAR(AB$6,'Achtergrond verbruiksprofielen'!$C$10:$D$10,'Achtergrond verbruiksprofielen'!$C$8:$D$8)</f>
        <v>9.0666666666666451E-2</v>
      </c>
      <c r="AC97" s="35">
        <f>_xlfn.FORECAST.LINEAR(AC$6,'Achtergrond verbruiksprofielen'!$C$10:$D$10,'Achtergrond verbruiksprofielen'!$C$8:$D$8)</f>
        <v>9.4500000000000028E-2</v>
      </c>
      <c r="AD97" s="35">
        <f>'Achtergrond verbruiksprofielen'!$D$10</f>
        <v>0.06</v>
      </c>
      <c r="AE97" s="35">
        <f>'Achtergrond verbruiksprofielen'!$D$10</f>
        <v>0.06</v>
      </c>
      <c r="AF97" s="35">
        <f>'Achtergrond verbruiksprofielen'!$D$10</f>
        <v>0.06</v>
      </c>
      <c r="AG97" s="35">
        <f>'Achtergrond verbruiksprofielen'!$D$10</f>
        <v>0.06</v>
      </c>
      <c r="AH97" s="35">
        <f>'Achtergrond verbruiksprofielen'!$D$10</f>
        <v>0.06</v>
      </c>
      <c r="AI97" s="60"/>
      <c r="AJ97" s="60"/>
      <c r="AK97" s="60"/>
    </row>
    <row r="98" spans="1:37" ht="18" x14ac:dyDescent="0.3">
      <c r="A98" s="11" t="s">
        <v>86</v>
      </c>
      <c r="B98" s="11"/>
      <c r="C98" s="33"/>
      <c r="D98" s="33" t="s">
        <v>62</v>
      </c>
      <c r="E98" s="35">
        <f>'Achtergrond verbruiksprofielen'!$C$34</f>
        <v>9.2656301685870079E-2</v>
      </c>
      <c r="F98" s="35">
        <f>'Achtergrond verbruiksprofielen'!$C$34+(F94-'Achtergrond verbruiksprofielen'!$C$32)*('Achtergrond verbruiksprofielen'!$D$34-'Achtergrond verbruiksprofielen'!$C$34)/('Achtergrond verbruiksprofielen'!$D$32-'Achtergrond verbruiksprofielen'!$C$32)</f>
        <v>9.358377966071714E-2</v>
      </c>
      <c r="G98" s="35">
        <f>'Achtergrond verbruiksprofielen'!$C$34+(G94-'Achtergrond verbruiksprofielen'!$C$32)*('Achtergrond verbruiksprofielen'!$D$34-'Achtergrond verbruiksprofielen'!$C$34)/('Achtergrond verbruiksprofielen'!$D$32-'Achtergrond verbruiksprofielen'!$C$32)</f>
        <v>9.45112576355642E-2</v>
      </c>
      <c r="H98" s="35">
        <f>'Achtergrond verbruiksprofielen'!$C$34+(H94-'Achtergrond verbruiksprofielen'!$C$32)*('Achtergrond verbruiksprofielen'!$D$34-'Achtergrond verbruiksprofielen'!$C$34)/('Achtergrond verbruiksprofielen'!$D$32-'Achtergrond verbruiksprofielen'!$C$32)</f>
        <v>9.5438735610411274E-2</v>
      </c>
      <c r="I98" s="35">
        <f>'Achtergrond verbruiksprofielen'!$C$34+(I94-'Achtergrond verbruiksprofielen'!$C$32)*('Achtergrond verbruiksprofielen'!$D$34-'Achtergrond verbruiksprofielen'!$C$34)/('Achtergrond verbruiksprofielen'!$D$32-'Achtergrond verbruiksprofielen'!$C$32)</f>
        <v>9.6366213585258334E-2</v>
      </c>
      <c r="J98" s="35">
        <f>'Achtergrond verbruiksprofielen'!$D$34</f>
        <v>9.7293691560105394E-2</v>
      </c>
      <c r="K98" s="35">
        <f>'Achtergrond verbruiksprofielen'!$D$34+(K94-'Achtergrond verbruiksprofielen'!$D$32)*('Achtergrond verbruiksprofielen'!$E$34-'Achtergrond verbruiksprofielen'!$D$34)/('Achtergrond verbruiksprofielen'!$E$32-'Achtergrond verbruiksprofielen'!$D$32)</f>
        <v>9.6793795378319128E-2</v>
      </c>
      <c r="L98" s="35">
        <f>'Achtergrond verbruiksprofielen'!$D$34+(L94-'Achtergrond verbruiksprofielen'!$D$32)*('Achtergrond verbruiksprofielen'!$E$34-'Achtergrond verbruiksprofielen'!$D$34)/('Achtergrond verbruiksprofielen'!$E$32-'Achtergrond verbruiksprofielen'!$D$32)</f>
        <v>9.6293899196532848E-2</v>
      </c>
      <c r="M98" s="35">
        <f>'Achtergrond verbruiksprofielen'!$D$34+(M94-'Achtergrond verbruiksprofielen'!$D$32)*('Achtergrond verbruiksprofielen'!$E$34-'Achtergrond verbruiksprofielen'!$D$34)/('Achtergrond verbruiksprofielen'!$E$32-'Achtergrond verbruiksprofielen'!$D$32)</f>
        <v>9.5794003014746582E-2</v>
      </c>
      <c r="N98" s="35">
        <f>'Achtergrond verbruiksprofielen'!$D$34+(N94-'Achtergrond verbruiksprofielen'!$D$32)*('Achtergrond verbruiksprofielen'!$E$34-'Achtergrond verbruiksprofielen'!$D$34)/('Achtergrond verbruiksprofielen'!$E$32-'Achtergrond verbruiksprofielen'!$D$32)</f>
        <v>9.5294106832960301E-2</v>
      </c>
      <c r="O98" s="35">
        <f>'Achtergrond verbruiksprofielen'!$E$34</f>
        <v>9.4794210651174035E-2</v>
      </c>
      <c r="P98" s="35">
        <f>'Achtergrond verbruiksprofielen'!$E$34+(P94-'Achtergrond verbruiksprofielen'!$E$32)*('Achtergrond verbruiksprofielen'!$F$34-'Achtergrond verbruiksprofielen'!$E$34)/('Achtergrond verbruiksprofielen'!$F$32-'Achtergrond verbruiksprofielen'!$E$32)</f>
        <v>9.3291144809796514E-2</v>
      </c>
      <c r="Q98" s="35">
        <f>'Achtergrond verbruiksprofielen'!$E$34+(Q94-'Achtergrond verbruiksprofielen'!$E$32)*('Achtergrond verbruiksprofielen'!$F$34-'Achtergrond verbruiksprofielen'!$E$34)/('Achtergrond verbruiksprofielen'!$F$32-'Achtergrond verbruiksprofielen'!$E$32)</f>
        <v>9.1788078968419007E-2</v>
      </c>
      <c r="R98" s="35">
        <f>'Achtergrond verbruiksprofielen'!$E$34+(R94-'Achtergrond verbruiksprofielen'!$E$32)*('Achtergrond verbruiksprofielen'!$F$34-'Achtergrond verbruiksprofielen'!$E$34)/('Achtergrond verbruiksprofielen'!$F$32-'Achtergrond verbruiksprofielen'!$E$32)</f>
        <v>9.0285013127041486E-2</v>
      </c>
      <c r="S98" s="35">
        <f>'Achtergrond verbruiksprofielen'!$E$34+(S94-'Achtergrond verbruiksprofielen'!$E$32)*('Achtergrond verbruiksprofielen'!$F$34-'Achtergrond verbruiksprofielen'!$E$34)/('Achtergrond verbruiksprofielen'!$F$32-'Achtergrond verbruiksprofielen'!$E$32)</f>
        <v>8.8781947285663979E-2</v>
      </c>
      <c r="T98" s="35">
        <f>'Achtergrond verbruiksprofielen'!$F$34</f>
        <v>8.7278881444286457E-2</v>
      </c>
      <c r="U98" s="35">
        <f>'Achtergrond verbruiksprofielen'!$F$34+(U94-'Achtergrond verbruiksprofielen'!$F$32)*('Achtergrond verbruiksprofielen'!$G$34-'Achtergrond verbruiksprofielen'!$F$34)/('Achtergrond verbruiksprofielen'!$G$32-'Achtergrond verbruiksprofielen'!$F$32)</f>
        <v>8.4734689836633181E-2</v>
      </c>
      <c r="V98" s="35">
        <f>'Achtergrond verbruiksprofielen'!$F$34+(V94-'Achtergrond verbruiksprofielen'!$F$32)*('Achtergrond verbruiksprofielen'!$G$34-'Achtergrond verbruiksprofielen'!$F$34)/('Achtergrond verbruiksprofielen'!$G$32-'Achtergrond verbruiksprofielen'!$F$32)</f>
        <v>8.2190498228979905E-2</v>
      </c>
      <c r="W98" s="35">
        <f>'Achtergrond verbruiksprofielen'!$F$34+(W94-'Achtergrond verbruiksprofielen'!$F$32)*('Achtergrond verbruiksprofielen'!$G$34-'Achtergrond verbruiksprofielen'!$F$34)/('Achtergrond verbruiksprofielen'!$G$32-'Achtergrond verbruiksprofielen'!$F$32)</f>
        <v>7.9646306621326615E-2</v>
      </c>
      <c r="X98" s="35">
        <f>'Achtergrond verbruiksprofielen'!$F$34+(X94-'Achtergrond verbruiksprofielen'!$F$32)*('Achtergrond verbruiksprofielen'!$G$34-'Achtergrond verbruiksprofielen'!$F$34)/('Achtergrond verbruiksprofielen'!$G$32-'Achtergrond verbruiksprofielen'!$F$32)</f>
        <v>7.7102115013673339E-2</v>
      </c>
      <c r="Y98" s="35">
        <f>'Achtergrond verbruiksprofielen'!$G$34</f>
        <v>7.4557923406020063E-2</v>
      </c>
      <c r="Z98" s="35">
        <f>'Achtergrond verbruiksprofielen'!$G$34+(Z94-'Achtergrond verbruiksprofielen'!$G$32)*('Achtergrond verbruiksprofielen'!$H$34-'Achtergrond verbruiksprofielen'!$G$34)/('Achtergrond verbruiksprofielen'!$H$32-'Achtergrond verbruiksprofielen'!$G$32)</f>
        <v>7.6392014117008342E-2</v>
      </c>
      <c r="AA98" s="35">
        <f>'Achtergrond verbruiksprofielen'!$G$34+(AA94-'Achtergrond verbruiksprofielen'!$G$32)*('Achtergrond verbruiksprofielen'!$H$34-'Achtergrond verbruiksprofielen'!$G$34)/('Achtergrond verbruiksprofielen'!$H$32-'Achtergrond verbruiksprofielen'!$G$32)</f>
        <v>7.822610482799662E-2</v>
      </c>
      <c r="AB98" s="35">
        <f>'Achtergrond verbruiksprofielen'!$G$34+(AB94-'Achtergrond verbruiksprofielen'!$G$32)*('Achtergrond verbruiksprofielen'!$H$34-'Achtergrond verbruiksprofielen'!$G$34)/('Achtergrond verbruiksprofielen'!$H$32-'Achtergrond verbruiksprofielen'!$G$32)</f>
        <v>8.0060195538984913E-2</v>
      </c>
      <c r="AC98" s="35">
        <f>'Achtergrond verbruiksprofielen'!$G$34+(AC94-'Achtergrond verbruiksprofielen'!$G$32)*('Achtergrond verbruiksprofielen'!$H$34-'Achtergrond verbruiksprofielen'!$G$34)/('Achtergrond verbruiksprofielen'!$H$32-'Achtergrond verbruiksprofielen'!$G$32)</f>
        <v>8.1894286249973192E-2</v>
      </c>
      <c r="AD98" s="35">
        <f>'Achtergrond verbruiksprofielen'!$H$34</f>
        <v>8.372837696096147E-2</v>
      </c>
      <c r="AE98" s="35">
        <f>'Achtergrond verbruiksprofielen'!$H$34</f>
        <v>8.372837696096147E-2</v>
      </c>
      <c r="AF98" s="35">
        <f>'Achtergrond verbruiksprofielen'!$H$34</f>
        <v>8.372837696096147E-2</v>
      </c>
      <c r="AG98" s="35">
        <f>'Achtergrond verbruiksprofielen'!$H$34</f>
        <v>8.372837696096147E-2</v>
      </c>
      <c r="AH98" s="35">
        <f>'Achtergrond verbruiksprofielen'!$H$34</f>
        <v>8.372837696096147E-2</v>
      </c>
      <c r="AI98" s="60"/>
      <c r="AJ98" s="60"/>
      <c r="AK98" s="60"/>
    </row>
    <row r="99" spans="1:37" ht="15.6" x14ac:dyDescent="0.3">
      <c r="A99" s="11" t="s">
        <v>87</v>
      </c>
      <c r="B99" s="11"/>
      <c r="C99" s="33"/>
      <c r="D99" s="33" t="s">
        <v>88</v>
      </c>
      <c r="E99" s="361">
        <f>'Achtergrond verbruiksprofielen'!$C$35</f>
        <v>6365</v>
      </c>
      <c r="F99" s="361">
        <f>'Achtergrond verbruiksprofielen'!$C$35+(F94-'Achtergrond verbruiksprofielen'!$C$32)*('Achtergrond verbruiksprofielen'!$D$35-'Achtergrond verbruiksprofielen'!$C$35)/('Achtergrond verbruiksprofielen'!$D$32-'Achtergrond verbruiksprofielen'!$C$32)</f>
        <v>6365</v>
      </c>
      <c r="G99" s="361">
        <f>'Achtergrond verbruiksprofielen'!$C$35+(G94-'Achtergrond verbruiksprofielen'!$C$32)*('Achtergrond verbruiksprofielen'!$D$35-'Achtergrond verbruiksprofielen'!$C$35)/('Achtergrond verbruiksprofielen'!$D$32-'Achtergrond verbruiksprofielen'!$C$32)</f>
        <v>6365</v>
      </c>
      <c r="H99" s="361">
        <f>'Achtergrond verbruiksprofielen'!$C$35+(H94-'Achtergrond verbruiksprofielen'!$C$32)*('Achtergrond verbruiksprofielen'!$D$35-'Achtergrond verbruiksprofielen'!$C$35)/('Achtergrond verbruiksprofielen'!$D$32-'Achtergrond verbruiksprofielen'!$C$32)</f>
        <v>6365</v>
      </c>
      <c r="I99" s="361">
        <f>'Achtergrond verbruiksprofielen'!$C$35+(I94-'Achtergrond verbruiksprofielen'!$C$32)*('Achtergrond verbruiksprofielen'!$D$35-'Achtergrond verbruiksprofielen'!$C$35)/('Achtergrond verbruiksprofielen'!$D$32-'Achtergrond verbruiksprofielen'!$C$32)</f>
        <v>6365</v>
      </c>
      <c r="J99" s="361">
        <f>'Achtergrond verbruiksprofielen'!$D$35</f>
        <v>6365</v>
      </c>
      <c r="K99" s="361">
        <f>'Achtergrond verbruiksprofielen'!$D$35+(K94-'Achtergrond verbruiksprofielen'!$D$32)*('Achtergrond verbruiksprofielen'!$E$35-'Achtergrond verbruiksprofielen'!$D$35)/('Achtergrond verbruiksprofielen'!$E$32-'Achtergrond verbruiksprofielen'!$D$32)</f>
        <v>6365</v>
      </c>
      <c r="L99" s="361">
        <f>'Achtergrond verbruiksprofielen'!$D$35+(L94-'Achtergrond verbruiksprofielen'!$D$32)*('Achtergrond verbruiksprofielen'!$E$35-'Achtergrond verbruiksprofielen'!$D$35)/('Achtergrond verbruiksprofielen'!$E$32-'Achtergrond verbruiksprofielen'!$D$32)</f>
        <v>6365</v>
      </c>
      <c r="M99" s="361">
        <f>'Achtergrond verbruiksprofielen'!$D$35+(M94-'Achtergrond verbruiksprofielen'!$D$32)*('Achtergrond verbruiksprofielen'!$E$35-'Achtergrond verbruiksprofielen'!$D$35)/('Achtergrond verbruiksprofielen'!$E$32-'Achtergrond verbruiksprofielen'!$D$32)</f>
        <v>6365</v>
      </c>
      <c r="N99" s="361">
        <f>'Achtergrond verbruiksprofielen'!$D$35+(N94-'Achtergrond verbruiksprofielen'!$D$32)*('Achtergrond verbruiksprofielen'!$E$35-'Achtergrond verbruiksprofielen'!$D$35)/('Achtergrond verbruiksprofielen'!$E$32-'Achtergrond verbruiksprofielen'!$D$32)</f>
        <v>6365</v>
      </c>
      <c r="O99" s="361">
        <f>'Achtergrond verbruiksprofielen'!$E$35</f>
        <v>6365</v>
      </c>
      <c r="P99" s="361">
        <f>'Achtergrond verbruiksprofielen'!$E$35+(P94-'Achtergrond verbruiksprofielen'!$E$32)*('Achtergrond verbruiksprofielen'!$F$35-'Achtergrond verbruiksprofielen'!$E$35)/('Achtergrond verbruiksprofielen'!$F$32-'Achtergrond verbruiksprofielen'!$E$32)</f>
        <v>6365</v>
      </c>
      <c r="Q99" s="361">
        <f>'Achtergrond verbruiksprofielen'!$E$35+(Q94-'Achtergrond verbruiksprofielen'!$E$32)*('Achtergrond verbruiksprofielen'!$F$35-'Achtergrond verbruiksprofielen'!$E$35)/('Achtergrond verbruiksprofielen'!$F$32-'Achtergrond verbruiksprofielen'!$E$32)</f>
        <v>6365</v>
      </c>
      <c r="R99" s="361">
        <f>'Achtergrond verbruiksprofielen'!$E$35+(R94-'Achtergrond verbruiksprofielen'!$E$32)*('Achtergrond verbruiksprofielen'!$F$35-'Achtergrond verbruiksprofielen'!$E$35)/('Achtergrond verbruiksprofielen'!$F$32-'Achtergrond verbruiksprofielen'!$E$32)</f>
        <v>6365</v>
      </c>
      <c r="S99" s="361">
        <f>'Achtergrond verbruiksprofielen'!$E$35+(S94-'Achtergrond verbruiksprofielen'!$E$32)*('Achtergrond verbruiksprofielen'!$F$35-'Achtergrond verbruiksprofielen'!$E$35)/('Achtergrond verbruiksprofielen'!$F$32-'Achtergrond verbruiksprofielen'!$E$32)</f>
        <v>6365</v>
      </c>
      <c r="T99" s="361">
        <f>'Achtergrond verbruiksprofielen'!$F$35</f>
        <v>6365</v>
      </c>
      <c r="U99" s="361">
        <f>'Achtergrond verbruiksprofielen'!$F$35+(U94-'Achtergrond verbruiksprofielen'!$F$32)*('Achtergrond verbruiksprofielen'!$G$35-'Achtergrond verbruiksprofielen'!$F$35)/('Achtergrond verbruiksprofielen'!$G$32-'Achtergrond verbruiksprofielen'!$F$32)</f>
        <v>6365</v>
      </c>
      <c r="V99" s="361">
        <f>'Achtergrond verbruiksprofielen'!$F$35+(V94-'Achtergrond verbruiksprofielen'!$F$32)*('Achtergrond verbruiksprofielen'!$G$35-'Achtergrond verbruiksprofielen'!$F$35)/('Achtergrond verbruiksprofielen'!$G$32-'Achtergrond verbruiksprofielen'!$F$32)</f>
        <v>6365</v>
      </c>
      <c r="W99" s="361">
        <f>'Achtergrond verbruiksprofielen'!$F$35+(W94-'Achtergrond verbruiksprofielen'!$F$32)*('Achtergrond verbruiksprofielen'!$G$35-'Achtergrond verbruiksprofielen'!$F$35)/('Achtergrond verbruiksprofielen'!$G$32-'Achtergrond verbruiksprofielen'!$F$32)</f>
        <v>6365</v>
      </c>
      <c r="X99" s="361">
        <f>'Achtergrond verbruiksprofielen'!$F$35+(X94-'Achtergrond verbruiksprofielen'!$F$32)*('Achtergrond verbruiksprofielen'!$G$35-'Achtergrond verbruiksprofielen'!$F$35)/('Achtergrond verbruiksprofielen'!$G$32-'Achtergrond verbruiksprofielen'!$F$32)</f>
        <v>6365</v>
      </c>
      <c r="Y99" s="361">
        <f>'Achtergrond verbruiksprofielen'!$G$35</f>
        <v>6365</v>
      </c>
      <c r="Z99" s="361">
        <f>'Achtergrond verbruiksprofielen'!$G$35+(Z94-'Achtergrond verbruiksprofielen'!$G$32)*('Achtergrond verbruiksprofielen'!$H$35-'Achtergrond verbruiksprofielen'!$G$35)/('Achtergrond verbruiksprofielen'!$H$32-'Achtergrond verbruiksprofielen'!$G$32)</f>
        <v>6365</v>
      </c>
      <c r="AA99" s="361">
        <f>'Achtergrond verbruiksprofielen'!$G$35+(AA94-'Achtergrond verbruiksprofielen'!$G$32)*('Achtergrond verbruiksprofielen'!$H$35-'Achtergrond verbruiksprofielen'!$G$35)/('Achtergrond verbruiksprofielen'!$H$32-'Achtergrond verbruiksprofielen'!$G$32)</f>
        <v>6365</v>
      </c>
      <c r="AB99" s="361">
        <f>'Achtergrond verbruiksprofielen'!$G$35+(AB94-'Achtergrond verbruiksprofielen'!$G$32)*('Achtergrond verbruiksprofielen'!$H$35-'Achtergrond verbruiksprofielen'!$G$35)/('Achtergrond verbruiksprofielen'!$H$32-'Achtergrond verbruiksprofielen'!$G$32)</f>
        <v>6365</v>
      </c>
      <c r="AC99" s="361">
        <f>'Achtergrond verbruiksprofielen'!$G$35+(AC94-'Achtergrond verbruiksprofielen'!$G$32)*('Achtergrond verbruiksprofielen'!$H$35-'Achtergrond verbruiksprofielen'!$G$35)/('Achtergrond verbruiksprofielen'!$H$32-'Achtergrond verbruiksprofielen'!$G$32)</f>
        <v>6365</v>
      </c>
      <c r="AD99" s="361">
        <f>'Achtergrond verbruiksprofielen'!$H$35</f>
        <v>6365</v>
      </c>
      <c r="AE99" s="361">
        <f>'Achtergrond verbruiksprofielen'!$H$35</f>
        <v>6365</v>
      </c>
      <c r="AF99" s="361">
        <f>'Achtergrond verbruiksprofielen'!$H$35</f>
        <v>6365</v>
      </c>
      <c r="AG99" s="361">
        <f>'Achtergrond verbruiksprofielen'!$H$35</f>
        <v>6365</v>
      </c>
      <c r="AH99" s="361">
        <f>'Achtergrond verbruiksprofielen'!$H$35</f>
        <v>6365</v>
      </c>
      <c r="AI99" s="60"/>
      <c r="AJ99" s="60"/>
      <c r="AK99" s="60"/>
    </row>
    <row r="100" spans="1:37" ht="15.6" x14ac:dyDescent="0.3">
      <c r="A100" s="11"/>
      <c r="B100" s="11"/>
      <c r="C100" s="11"/>
      <c r="D100" s="11"/>
      <c r="E100" s="341"/>
      <c r="F100" s="341"/>
      <c r="G100" s="341"/>
      <c r="H100" s="341"/>
      <c r="I100" s="341"/>
      <c r="J100" s="341"/>
      <c r="K100" s="341"/>
      <c r="L100" s="341"/>
      <c r="M100" s="341"/>
      <c r="N100" s="341"/>
      <c r="O100" s="341"/>
      <c r="P100" s="341"/>
      <c r="Q100" s="341"/>
      <c r="R100" s="341"/>
      <c r="S100" s="341"/>
      <c r="T100" s="341"/>
      <c r="U100" s="341"/>
      <c r="V100" s="341"/>
      <c r="W100" s="341"/>
      <c r="X100" s="341"/>
      <c r="Y100" s="341"/>
      <c r="Z100" s="341"/>
      <c r="AA100" s="341"/>
      <c r="AB100" s="341"/>
      <c r="AC100" s="341"/>
      <c r="AD100" s="341"/>
      <c r="AE100" s="341"/>
      <c r="AF100" s="341"/>
      <c r="AG100" s="341"/>
      <c r="AH100" s="341"/>
      <c r="AI100" s="60"/>
      <c r="AJ100" s="60"/>
      <c r="AK100" s="60"/>
    </row>
    <row r="101" spans="1:37" ht="15.6" x14ac:dyDescent="0.3">
      <c r="A101" s="66" t="s">
        <v>89</v>
      </c>
      <c r="B101" s="11"/>
      <c r="C101" s="11"/>
      <c r="D101" s="58" t="s">
        <v>81</v>
      </c>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60"/>
      <c r="AJ101" s="60"/>
      <c r="AK101" s="60"/>
    </row>
    <row r="102" spans="1:37" ht="18" x14ac:dyDescent="0.3">
      <c r="A102" s="11" t="s">
        <v>82</v>
      </c>
      <c r="B102" s="11"/>
      <c r="C102" s="11"/>
      <c r="D102" s="33" t="s">
        <v>90</v>
      </c>
      <c r="E102" s="50">
        <f>'Achtergrond verbruiksprofielen'!$C$50</f>
        <v>2.4E-2</v>
      </c>
      <c r="F102" s="50">
        <f>'Achtergrond verbruiksprofielen'!$C$50</f>
        <v>2.4E-2</v>
      </c>
      <c r="G102" s="50">
        <f>'Achtergrond verbruiksprofielen'!$C$50</f>
        <v>2.4E-2</v>
      </c>
      <c r="H102" s="50">
        <f>'Achtergrond verbruiksprofielen'!$C$50</f>
        <v>2.4E-2</v>
      </c>
      <c r="I102" s="50">
        <f>'Achtergrond verbruiksprofielen'!$C$50</f>
        <v>2.4E-2</v>
      </c>
      <c r="J102" s="50">
        <f>'Achtergrond verbruiksprofielen'!$C$50</f>
        <v>2.4E-2</v>
      </c>
      <c r="K102" s="50">
        <f>'Achtergrond verbruiksprofielen'!$C$50</f>
        <v>2.4E-2</v>
      </c>
      <c r="L102" s="50">
        <f>'Achtergrond verbruiksprofielen'!$C$50</f>
        <v>2.4E-2</v>
      </c>
      <c r="M102" s="50">
        <f>'Achtergrond verbruiksprofielen'!$C$50</f>
        <v>2.4E-2</v>
      </c>
      <c r="N102" s="50">
        <f>'Achtergrond verbruiksprofielen'!$C$50</f>
        <v>2.4E-2</v>
      </c>
      <c r="O102" s="50">
        <f>'Achtergrond verbruiksprofielen'!$C$50</f>
        <v>2.4E-2</v>
      </c>
      <c r="P102" s="50">
        <f>'Achtergrond verbruiksprofielen'!$C$50</f>
        <v>2.4E-2</v>
      </c>
      <c r="Q102" s="50">
        <f>'Achtergrond verbruiksprofielen'!$C$50</f>
        <v>2.4E-2</v>
      </c>
      <c r="R102" s="50">
        <f>'Achtergrond verbruiksprofielen'!$C$50</f>
        <v>2.4E-2</v>
      </c>
      <c r="S102" s="50">
        <f>'Achtergrond verbruiksprofielen'!$C$50</f>
        <v>2.4E-2</v>
      </c>
      <c r="T102" s="50">
        <f>'Achtergrond verbruiksprofielen'!$C$50</f>
        <v>2.4E-2</v>
      </c>
      <c r="U102" s="50">
        <f>'Achtergrond verbruiksprofielen'!$C$50</f>
        <v>2.4E-2</v>
      </c>
      <c r="V102" s="50">
        <f>'Achtergrond verbruiksprofielen'!$C$50</f>
        <v>2.4E-2</v>
      </c>
      <c r="W102" s="50">
        <f>'Achtergrond verbruiksprofielen'!$C$50</f>
        <v>2.4E-2</v>
      </c>
      <c r="X102" s="50">
        <f>'Achtergrond verbruiksprofielen'!$C$50</f>
        <v>2.4E-2</v>
      </c>
      <c r="Y102" s="50">
        <f>'Achtergrond verbruiksprofielen'!$C$50</f>
        <v>2.4E-2</v>
      </c>
      <c r="Z102" s="50">
        <f>'Achtergrond verbruiksprofielen'!$C$50</f>
        <v>2.4E-2</v>
      </c>
      <c r="AA102" s="50">
        <f>'Achtergrond verbruiksprofielen'!$C$50</f>
        <v>2.4E-2</v>
      </c>
      <c r="AB102" s="50">
        <f>'Achtergrond verbruiksprofielen'!$C$50</f>
        <v>2.4E-2</v>
      </c>
      <c r="AC102" s="50">
        <f>'Achtergrond verbruiksprofielen'!$C$50</f>
        <v>2.4E-2</v>
      </c>
      <c r="AD102" s="50">
        <f>'Achtergrond verbruiksprofielen'!$C$50</f>
        <v>2.4E-2</v>
      </c>
      <c r="AE102" s="50">
        <f>'Achtergrond verbruiksprofielen'!$C$50</f>
        <v>2.4E-2</v>
      </c>
      <c r="AF102" s="50">
        <f>'Achtergrond verbruiksprofielen'!$C$50</f>
        <v>2.4E-2</v>
      </c>
      <c r="AG102" s="50">
        <f>'Achtergrond verbruiksprofielen'!$C$50</f>
        <v>2.4E-2</v>
      </c>
      <c r="AH102" s="50">
        <f>'Achtergrond verbruiksprofielen'!$C$50</f>
        <v>2.4E-2</v>
      </c>
      <c r="AI102" s="60"/>
      <c r="AJ102" s="60"/>
      <c r="AK102" s="60"/>
    </row>
    <row r="103" spans="1:37" ht="18" x14ac:dyDescent="0.4">
      <c r="A103" s="11" t="s">
        <v>178</v>
      </c>
      <c r="B103" s="11"/>
      <c r="C103" s="11"/>
      <c r="D103" s="223" t="s">
        <v>167</v>
      </c>
      <c r="E103" s="35">
        <v>0</v>
      </c>
      <c r="F103" s="35">
        <v>0</v>
      </c>
      <c r="G103" s="35">
        <v>0</v>
      </c>
      <c r="H103" s="35">
        <f>_xlfn.FORECAST.LINEAR(H$6,'Achtergrond verbruiksprofielen'!$C$54:$D$54,'Achtergrond verbruiksprofielen'!$C$52:$D$52)</f>
        <v>8.0000000000008953E-3</v>
      </c>
      <c r="I103" s="35">
        <f>_xlfn.FORECAST.LINEAR(I$6,'Achtergrond verbruiksprofielen'!$C$54:$D$54,'Achtergrond verbruiksprofielen'!$C$52:$D$52)</f>
        <v>1.3999999999999346E-2</v>
      </c>
      <c r="J103" s="35">
        <f>'Achtergrond verbruiksprofielen'!$D$54</f>
        <v>0.02</v>
      </c>
      <c r="K103" s="35">
        <f>_xlfn.FORECAST.LINEAR(K$6,'Achtergrond verbruiksprofielen'!$D$54:$E$54,'Achtergrond verbruiksprofielen'!$D$52:$E$52)</f>
        <v>2.3999999999999133E-2</v>
      </c>
      <c r="L103" s="35">
        <f>_xlfn.FORECAST.LINEAR(L$6,'Achtergrond verbruiksprofielen'!$D$54:$E$54,'Achtergrond verbruiksprofielen'!$D$52:$E$52)</f>
        <v>2.7999999999998693E-2</v>
      </c>
      <c r="M103" s="35">
        <f>_xlfn.FORECAST.LINEAR(M$6,'Achtergrond verbruiksprofielen'!$D$54:$E$54,'Achtergrond verbruiksprofielen'!$D$52:$E$52)</f>
        <v>3.1999999999998252E-2</v>
      </c>
      <c r="N103" s="35">
        <f>_xlfn.FORECAST.LINEAR(N$6,'Achtergrond verbruiksprofielen'!$D$54:$E$54,'Achtergrond verbruiksprofielen'!$D$52:$E$52)</f>
        <v>3.5999999999999588E-2</v>
      </c>
      <c r="O103" s="35">
        <f>'Achtergrond verbruiksprofielen'!$E$54</f>
        <v>0.04</v>
      </c>
      <c r="P103" s="35">
        <f>_xlfn.FORECAST.LINEAR(P$6,'Achtergrond verbruiksprofielen'!$E$54:$F$54,'Achtergrond verbruiksprofielen'!$E$52:$F$52)</f>
        <v>4.4000000000000483E-2</v>
      </c>
      <c r="Q103" s="35">
        <f>_xlfn.FORECAST.LINEAR(Q$6,'Achtergrond verbruiksprofielen'!$E$54:$F$54,'Achtergrond verbruiksprofielen'!$E$52:$F$52)</f>
        <v>4.8000000000000043E-2</v>
      </c>
      <c r="R103" s="35">
        <f>_xlfn.FORECAST.LINEAR(R$6,'Achtergrond verbruiksprofielen'!$E$54:$F$54,'Achtergrond verbruiksprofielen'!$E$52:$F$52)</f>
        <v>5.2000000000001378E-2</v>
      </c>
      <c r="S103" s="35">
        <f>_xlfn.FORECAST.LINEAR(S$6,'Achtergrond verbruiksprofielen'!$E$54:$F$54,'Achtergrond verbruiksprofielen'!$E$52:$F$52)</f>
        <v>5.6000000000000938E-2</v>
      </c>
      <c r="T103" s="35">
        <f>'Achtergrond verbruiksprofielen'!$F$54</f>
        <v>0.06</v>
      </c>
      <c r="U103" s="35">
        <f>'Achtergrond verbruiksprofielen'!$F$54</f>
        <v>0.06</v>
      </c>
      <c r="V103" s="35">
        <f>'Achtergrond verbruiksprofielen'!$F$54</f>
        <v>0.06</v>
      </c>
      <c r="W103" s="35">
        <f>'Achtergrond verbruiksprofielen'!$F$54</f>
        <v>0.06</v>
      </c>
      <c r="X103" s="35">
        <f>'Achtergrond verbruiksprofielen'!$F$54</f>
        <v>0.06</v>
      </c>
      <c r="Y103" s="35">
        <f>'Achtergrond verbruiksprofielen'!$F$54</f>
        <v>0.06</v>
      </c>
      <c r="Z103" s="35">
        <f>'Achtergrond verbruiksprofielen'!$F$54</f>
        <v>0.06</v>
      </c>
      <c r="AA103" s="35">
        <f>'Achtergrond verbruiksprofielen'!$F$54</f>
        <v>0.06</v>
      </c>
      <c r="AB103" s="35">
        <f>'Achtergrond verbruiksprofielen'!$F$54</f>
        <v>0.06</v>
      </c>
      <c r="AC103" s="35">
        <f>'Achtergrond verbruiksprofielen'!$F$54</f>
        <v>0.06</v>
      </c>
      <c r="AD103" s="35">
        <f>'Achtergrond verbruiksprofielen'!$F$54</f>
        <v>0.06</v>
      </c>
      <c r="AE103" s="35">
        <f>'Achtergrond verbruiksprofielen'!$F$54</f>
        <v>0.06</v>
      </c>
      <c r="AF103" s="35">
        <f>'Achtergrond verbruiksprofielen'!$F$54</f>
        <v>0.06</v>
      </c>
      <c r="AG103" s="35">
        <f>'Achtergrond verbruiksprofielen'!$F$54</f>
        <v>0.06</v>
      </c>
      <c r="AH103" s="35">
        <f>'Achtergrond verbruiksprofielen'!$F$54</f>
        <v>0.06</v>
      </c>
      <c r="AI103" s="60"/>
      <c r="AJ103" s="60"/>
      <c r="AK103" s="60"/>
    </row>
    <row r="104" spans="1:37" ht="18" x14ac:dyDescent="0.3">
      <c r="A104" s="11" t="s">
        <v>86</v>
      </c>
      <c r="B104" s="11"/>
      <c r="C104" s="11"/>
      <c r="D104" s="33" t="s">
        <v>62</v>
      </c>
      <c r="E104" s="35">
        <f>'Achtergrond verbruiksprofielen'!$C$78</f>
        <v>0.10200558397754249</v>
      </c>
      <c r="F104" s="35">
        <f>'Achtergrond verbruiksprofielen'!$C$78+(F94-'Achtergrond verbruiksprofielen'!$C$76)*('Achtergrond verbruiksprofielen'!$D$78-'Achtergrond verbruiksprofielen'!$C$78)/('Achtergrond verbruiksprofielen'!$D$76-'Achtergrond verbruiksprofielen'!$C$76)</f>
        <v>0.10095257701595675</v>
      </c>
      <c r="G104" s="35">
        <f>'Achtergrond verbruiksprofielen'!$C$78+(G94-'Achtergrond verbruiksprofielen'!$C$76)*('Achtergrond verbruiksprofielen'!$D$78-'Achtergrond verbruiksprofielen'!$C$78)/('Achtergrond verbruiksprofielen'!$D$76-'Achtergrond verbruiksprofielen'!$C$76)</f>
        <v>9.9899570054371029E-2</v>
      </c>
      <c r="H104" s="35">
        <f>'Achtergrond verbruiksprofielen'!$C$78+(H94-'Achtergrond verbruiksprofielen'!$C$76)*('Achtergrond verbruiksprofielen'!$D$78-'Achtergrond verbruiksprofielen'!$C$78)/('Achtergrond verbruiksprofielen'!$D$76-'Achtergrond verbruiksprofielen'!$C$76)</f>
        <v>9.8846563092785292E-2</v>
      </c>
      <c r="I104" s="35">
        <f>'Achtergrond verbruiksprofielen'!$C$78+(I94-'Achtergrond verbruiksprofielen'!$C$76)*('Achtergrond verbruiksprofielen'!$D$78-'Achtergrond verbruiksprofielen'!$C$78)/('Achtergrond verbruiksprofielen'!$D$76-'Achtergrond verbruiksprofielen'!$C$76)</f>
        <v>9.7793556131199569E-2</v>
      </c>
      <c r="J104" s="35">
        <f>'Achtergrond verbruiksprofielen'!$D$78</f>
        <v>9.6740549169613832E-2</v>
      </c>
      <c r="K104" s="35">
        <f>'Achtergrond verbruiksprofielen'!$D$78+(K94-'Achtergrond verbruiksprofielen'!$D$76)*('Achtergrond verbruiksprofielen'!$E$78-'Achtergrond verbruiksprofielen'!$D$78)/('Achtergrond verbruiksprofielen'!$E$76-'Achtergrond verbruiksprofielen'!$D$76)</f>
        <v>9.5420491247539097E-2</v>
      </c>
      <c r="L104" s="35">
        <f>'Achtergrond verbruiksprofielen'!$D$78+(L94-'Achtergrond verbruiksprofielen'!$D$76)*('Achtergrond verbruiksprofielen'!$E$78-'Achtergrond verbruiksprofielen'!$D$78)/('Achtergrond verbruiksprofielen'!$E$76-'Achtergrond verbruiksprofielen'!$D$76)</f>
        <v>9.4100433325464361E-2</v>
      </c>
      <c r="M104" s="35">
        <f>'Achtergrond verbruiksprofielen'!$D$78+(M94-'Achtergrond verbruiksprofielen'!$D$76)*('Achtergrond verbruiksprofielen'!$E$78-'Achtergrond verbruiksprofielen'!$D$78)/('Achtergrond verbruiksprofielen'!$E$76-'Achtergrond verbruiksprofielen'!$D$76)</f>
        <v>9.2780375403389626E-2</v>
      </c>
      <c r="N104" s="35">
        <f>'Achtergrond verbruiksprofielen'!$D$78+(N94-'Achtergrond verbruiksprofielen'!$D$76)*('Achtergrond verbruiksprofielen'!$E$78-'Achtergrond verbruiksprofielen'!$D$78)/('Achtergrond verbruiksprofielen'!$E$76-'Achtergrond verbruiksprofielen'!$D$76)</f>
        <v>9.146031748131489E-2</v>
      </c>
      <c r="O104" s="35">
        <f>'Achtergrond verbruiksprofielen'!$E$78</f>
        <v>9.0140259559240155E-2</v>
      </c>
      <c r="P104" s="35">
        <f>'Achtergrond verbruiksprofielen'!$E$78+(P94-'Achtergrond verbruiksprofielen'!$E$76)*('Achtergrond verbruiksprofielen'!$F$78-'Achtergrond verbruiksprofielen'!$E$78)/('Achtergrond verbruiksprofielen'!$F$76-'Achtergrond verbruiksprofielen'!$E$76)</f>
        <v>9.1076586994095696E-2</v>
      </c>
      <c r="Q104" s="35">
        <f>'Achtergrond verbruiksprofielen'!$E$78+(Q94-'Achtergrond verbruiksprofielen'!$E$76)*('Achtergrond verbruiksprofielen'!$F$78-'Achtergrond verbruiksprofielen'!$E$78)/('Achtergrond verbruiksprofielen'!$F$76-'Achtergrond verbruiksprofielen'!$E$76)</f>
        <v>9.2012914428951223E-2</v>
      </c>
      <c r="R104" s="35">
        <f>'Achtergrond verbruiksprofielen'!$E$78+(R94-'Achtergrond verbruiksprofielen'!$E$76)*('Achtergrond verbruiksprofielen'!$F$78-'Achtergrond verbruiksprofielen'!$E$78)/('Achtergrond verbruiksprofielen'!$F$76-'Achtergrond verbruiksprofielen'!$E$76)</f>
        <v>9.2949241863806764E-2</v>
      </c>
      <c r="S104" s="35">
        <f>'Achtergrond verbruiksprofielen'!$E$78+(S94-'Achtergrond verbruiksprofielen'!$E$76)*('Achtergrond verbruiksprofielen'!$F$78-'Achtergrond verbruiksprofielen'!$E$78)/('Achtergrond verbruiksprofielen'!$F$76-'Achtergrond verbruiksprofielen'!$E$76)</f>
        <v>9.3885569298662291E-2</v>
      </c>
      <c r="T104" s="35">
        <f>'Achtergrond verbruiksprofielen'!$F$78</f>
        <v>9.4821896733517833E-2</v>
      </c>
      <c r="U104" s="35">
        <f>'Achtergrond verbruiksprofielen'!$F$78+(U94-'Achtergrond verbruiksprofielen'!$F$76)*('Achtergrond verbruiksprofielen'!$G$78-'Achtergrond verbruiksprofielen'!$F$78)/('Achtergrond verbruiksprofielen'!$G$76-'Achtergrond verbruiksprofielen'!$F$76)</f>
        <v>9.4357178432385946E-2</v>
      </c>
      <c r="V104" s="35">
        <f>'Achtergrond verbruiksprofielen'!$F$78+(V94-'Achtergrond verbruiksprofielen'!$F$76)*('Achtergrond verbruiksprofielen'!$G$78-'Achtergrond verbruiksprofielen'!$F$78)/('Achtergrond verbruiksprofielen'!$G$76-'Achtergrond verbruiksprofielen'!$F$76)</f>
        <v>9.389246013125406E-2</v>
      </c>
      <c r="W104" s="35">
        <f>'Achtergrond verbruiksprofielen'!$F$78+(W94-'Achtergrond verbruiksprofielen'!$F$76)*('Achtergrond verbruiksprofielen'!$G$78-'Achtergrond verbruiksprofielen'!$F$78)/('Achtergrond verbruiksprofielen'!$G$76-'Achtergrond verbruiksprofielen'!$F$76)</f>
        <v>9.3427741830122174E-2</v>
      </c>
      <c r="X104" s="35">
        <f>'Achtergrond verbruiksprofielen'!$F$78+(X94-'Achtergrond verbruiksprofielen'!$F$76)*('Achtergrond verbruiksprofielen'!$G$78-'Achtergrond verbruiksprofielen'!$F$78)/('Achtergrond verbruiksprofielen'!$G$76-'Achtergrond verbruiksprofielen'!$F$76)</f>
        <v>9.2963023528990288E-2</v>
      </c>
      <c r="Y104" s="35">
        <f>'Achtergrond verbruiksprofielen'!$G$78</f>
        <v>9.2498305227858402E-2</v>
      </c>
      <c r="Z104" s="35">
        <f>'Achtergrond verbruiksprofielen'!$G$78+(Z94-'Achtergrond verbruiksprofielen'!$G$76)*('Achtergrond verbruiksprofielen'!$H$78-'Achtergrond verbruiksprofielen'!$G$78)/('Achtergrond verbruiksprofielen'!$H$76-'Achtergrond verbruiksprofielen'!$G$76)</f>
        <v>9.1023986030020765E-2</v>
      </c>
      <c r="AA104" s="35">
        <f>'Achtergrond verbruiksprofielen'!$G$78+(AA94-'Achtergrond verbruiksprofielen'!$G$76)*('Achtergrond verbruiksprofielen'!$H$78-'Achtergrond verbruiksprofielen'!$G$78)/('Achtergrond verbruiksprofielen'!$H$76-'Achtergrond verbruiksprofielen'!$G$76)</f>
        <v>8.9549666832183128E-2</v>
      </c>
      <c r="AB104" s="35">
        <f>'Achtergrond verbruiksprofielen'!$G$78+(AB94-'Achtergrond verbruiksprofielen'!$G$76)*('Achtergrond verbruiksprofielen'!$H$78-'Achtergrond verbruiksprofielen'!$G$78)/('Achtergrond verbruiksprofielen'!$H$76-'Achtergrond verbruiksprofielen'!$G$76)</f>
        <v>8.8075347634345505E-2</v>
      </c>
      <c r="AC104" s="35">
        <f>'Achtergrond verbruiksprofielen'!$G$78+(AC94-'Achtergrond verbruiksprofielen'!$G$76)*('Achtergrond verbruiksprofielen'!$H$78-'Achtergrond verbruiksprofielen'!$G$78)/('Achtergrond verbruiksprofielen'!$H$76-'Achtergrond verbruiksprofielen'!$G$76)</f>
        <v>8.6601028436507868E-2</v>
      </c>
      <c r="AD104" s="35">
        <f>'Achtergrond verbruiksprofielen'!$H$78</f>
        <v>8.5126709238670231E-2</v>
      </c>
      <c r="AE104" s="35">
        <f>'Achtergrond verbruiksprofielen'!$H$78</f>
        <v>8.5126709238670231E-2</v>
      </c>
      <c r="AF104" s="35">
        <f>'Achtergrond verbruiksprofielen'!$H$78</f>
        <v>8.5126709238670231E-2</v>
      </c>
      <c r="AG104" s="35">
        <f>'Achtergrond verbruiksprofielen'!$H$78</f>
        <v>8.5126709238670231E-2</v>
      </c>
      <c r="AH104" s="35">
        <f>'Achtergrond verbruiksprofielen'!$H$78</f>
        <v>8.5126709238670231E-2</v>
      </c>
      <c r="AI104" s="60"/>
      <c r="AJ104" s="60"/>
      <c r="AK104" s="60"/>
    </row>
    <row r="105" spans="1:37" ht="15.6" x14ac:dyDescent="0.3">
      <c r="A105" s="11" t="s">
        <v>87</v>
      </c>
      <c r="B105" s="11"/>
      <c r="C105" s="33"/>
      <c r="D105" s="33" t="s">
        <v>88</v>
      </c>
      <c r="E105" s="361">
        <f>'Achtergrond verbruiksprofielen'!$C$79</f>
        <v>6365</v>
      </c>
      <c r="F105" s="361">
        <f>'Achtergrond verbruiksprofielen'!$C$79+(F94-'Achtergrond verbruiksprofielen'!$C$76)*('Achtergrond verbruiksprofielen'!$D$79-'Achtergrond verbruiksprofielen'!$C$79)/('Achtergrond verbruiksprofielen'!$D$76-'Achtergrond verbruiksprofielen'!$C$76)</f>
        <v>6365</v>
      </c>
      <c r="G105" s="361">
        <f>'Achtergrond verbruiksprofielen'!$C$79+(G94-'Achtergrond verbruiksprofielen'!$C$76)*('Achtergrond verbruiksprofielen'!$D$79-'Achtergrond verbruiksprofielen'!$C$79)/('Achtergrond verbruiksprofielen'!$D$76-'Achtergrond verbruiksprofielen'!$C$76)</f>
        <v>6365</v>
      </c>
      <c r="H105" s="361">
        <f>'Achtergrond verbruiksprofielen'!$C$79+(H94-'Achtergrond verbruiksprofielen'!$C$76)*('Achtergrond verbruiksprofielen'!$D$79-'Achtergrond verbruiksprofielen'!$C$79)/('Achtergrond verbruiksprofielen'!$D$76-'Achtergrond verbruiksprofielen'!$C$76)</f>
        <v>6365</v>
      </c>
      <c r="I105" s="361">
        <f>'Achtergrond verbruiksprofielen'!$C$79+(I94-'Achtergrond verbruiksprofielen'!$C$76)*('Achtergrond verbruiksprofielen'!$D$79-'Achtergrond verbruiksprofielen'!$C$79)/('Achtergrond verbruiksprofielen'!$D$76-'Achtergrond verbruiksprofielen'!$C$76)</f>
        <v>6365</v>
      </c>
      <c r="J105" s="361">
        <f>'Achtergrond verbruiksprofielen'!$D$79</f>
        <v>6365</v>
      </c>
      <c r="K105" s="361">
        <f>'Achtergrond verbruiksprofielen'!$D$79+(K94-'Achtergrond verbruiksprofielen'!$D$76)*('Achtergrond verbruiksprofielen'!$E$79-'Achtergrond verbruiksprofielen'!$D$79)/('Achtergrond verbruiksprofielen'!$E$76-'Achtergrond verbruiksprofielen'!$D$76)</f>
        <v>6365</v>
      </c>
      <c r="L105" s="361">
        <f>'Achtergrond verbruiksprofielen'!$D$79+(L94-'Achtergrond verbruiksprofielen'!$D$76)*('Achtergrond verbruiksprofielen'!$E$79-'Achtergrond verbruiksprofielen'!$D$79)/('Achtergrond verbruiksprofielen'!$E$76-'Achtergrond verbruiksprofielen'!$D$76)</f>
        <v>6365</v>
      </c>
      <c r="M105" s="361">
        <f>'Achtergrond verbruiksprofielen'!$D$79+(M94-'Achtergrond verbruiksprofielen'!$D$76)*('Achtergrond verbruiksprofielen'!$E$79-'Achtergrond verbruiksprofielen'!$D$79)/('Achtergrond verbruiksprofielen'!$E$76-'Achtergrond verbruiksprofielen'!$D$76)</f>
        <v>6365</v>
      </c>
      <c r="N105" s="361">
        <f>'Achtergrond verbruiksprofielen'!$D$79+(N94-'Achtergrond verbruiksprofielen'!$D$76)*('Achtergrond verbruiksprofielen'!$E$79-'Achtergrond verbruiksprofielen'!$D$79)/('Achtergrond verbruiksprofielen'!$E$76-'Achtergrond verbruiksprofielen'!$D$76)</f>
        <v>6365</v>
      </c>
      <c r="O105" s="361">
        <f>'Achtergrond verbruiksprofielen'!$E$79</f>
        <v>6365</v>
      </c>
      <c r="P105" s="361">
        <f>'Achtergrond verbruiksprofielen'!$E$79+(P94-'Achtergrond verbruiksprofielen'!$E$76)*('Achtergrond verbruiksprofielen'!$F$79-'Achtergrond verbruiksprofielen'!$E$79)/('Achtergrond verbruiksprofielen'!$F$76-'Achtergrond verbruiksprofielen'!$E$76)</f>
        <v>6365</v>
      </c>
      <c r="Q105" s="361">
        <f>'Achtergrond verbruiksprofielen'!$E$79+(Q94-'Achtergrond verbruiksprofielen'!$E$76)*('Achtergrond verbruiksprofielen'!$F$79-'Achtergrond verbruiksprofielen'!$E$79)/('Achtergrond verbruiksprofielen'!$F$76-'Achtergrond verbruiksprofielen'!$E$76)</f>
        <v>6365</v>
      </c>
      <c r="R105" s="361">
        <f>'Achtergrond verbruiksprofielen'!$E$79+(R94-'Achtergrond verbruiksprofielen'!$E$76)*('Achtergrond verbruiksprofielen'!$F$79-'Achtergrond verbruiksprofielen'!$E$79)/('Achtergrond verbruiksprofielen'!$F$76-'Achtergrond verbruiksprofielen'!$E$76)</f>
        <v>6365</v>
      </c>
      <c r="S105" s="361">
        <f>'Achtergrond verbruiksprofielen'!$E$79+(S94-'Achtergrond verbruiksprofielen'!$E$76)*('Achtergrond verbruiksprofielen'!$F$79-'Achtergrond verbruiksprofielen'!$E$79)/('Achtergrond verbruiksprofielen'!$F$76-'Achtergrond verbruiksprofielen'!$E$76)</f>
        <v>6365</v>
      </c>
      <c r="T105" s="361">
        <f>'Achtergrond verbruiksprofielen'!$F$79</f>
        <v>6365</v>
      </c>
      <c r="U105" s="361">
        <f>'Achtergrond verbruiksprofielen'!$F$79+(U94-'Achtergrond verbruiksprofielen'!$F$76)*('Achtergrond verbruiksprofielen'!$G$79-'Achtergrond verbruiksprofielen'!$F$79)/('Achtergrond verbruiksprofielen'!$G$76-'Achtergrond verbruiksprofielen'!$F$76)</f>
        <v>6365</v>
      </c>
      <c r="V105" s="361">
        <f>'Achtergrond verbruiksprofielen'!$F$79+(V94-'Achtergrond verbruiksprofielen'!$F$76)*('Achtergrond verbruiksprofielen'!$G$79-'Achtergrond verbruiksprofielen'!$F$79)/('Achtergrond verbruiksprofielen'!$G$76-'Achtergrond verbruiksprofielen'!$F$76)</f>
        <v>6365</v>
      </c>
      <c r="W105" s="361">
        <f>'Achtergrond verbruiksprofielen'!$F$79+(W94-'Achtergrond verbruiksprofielen'!$F$76)*('Achtergrond verbruiksprofielen'!$G$79-'Achtergrond verbruiksprofielen'!$F$79)/('Achtergrond verbruiksprofielen'!$G$76-'Achtergrond verbruiksprofielen'!$F$76)</f>
        <v>6365</v>
      </c>
      <c r="X105" s="361">
        <f>'Achtergrond verbruiksprofielen'!$F$79+(X94-'Achtergrond verbruiksprofielen'!$F$76)*('Achtergrond verbruiksprofielen'!$G$79-'Achtergrond verbruiksprofielen'!$F$79)/('Achtergrond verbruiksprofielen'!$G$76-'Achtergrond verbruiksprofielen'!$F$76)</f>
        <v>6365</v>
      </c>
      <c r="Y105" s="361">
        <f>'Achtergrond verbruiksprofielen'!$G$79</f>
        <v>6365</v>
      </c>
      <c r="Z105" s="361">
        <f>'Achtergrond verbruiksprofielen'!$G$79+(Z94-'Achtergrond verbruiksprofielen'!$G$76)*('Achtergrond verbruiksprofielen'!$H$79-'Achtergrond verbruiksprofielen'!$G$79)/('Achtergrond verbruiksprofielen'!$H$76-'Achtergrond verbruiksprofielen'!$G$76)</f>
        <v>6365</v>
      </c>
      <c r="AA105" s="361">
        <f>'Achtergrond verbruiksprofielen'!$G$79+(AA94-'Achtergrond verbruiksprofielen'!$G$76)*('Achtergrond verbruiksprofielen'!$H$79-'Achtergrond verbruiksprofielen'!$G$79)/('Achtergrond verbruiksprofielen'!$H$76-'Achtergrond verbruiksprofielen'!$G$76)</f>
        <v>6365</v>
      </c>
      <c r="AB105" s="361">
        <f>'Achtergrond verbruiksprofielen'!$G$79+(AB94-'Achtergrond verbruiksprofielen'!$G$76)*('Achtergrond verbruiksprofielen'!$H$79-'Achtergrond verbruiksprofielen'!$G$79)/('Achtergrond verbruiksprofielen'!$H$76-'Achtergrond verbruiksprofielen'!$G$76)</f>
        <v>6365</v>
      </c>
      <c r="AC105" s="361">
        <f>'Achtergrond verbruiksprofielen'!$G$79+(AC94-'Achtergrond verbruiksprofielen'!$G$76)*('Achtergrond verbruiksprofielen'!$H$79-'Achtergrond verbruiksprofielen'!$G$79)/('Achtergrond verbruiksprofielen'!$H$76-'Achtergrond verbruiksprofielen'!$G$76)</f>
        <v>6365</v>
      </c>
      <c r="AD105" s="361">
        <f>'Achtergrond verbruiksprofielen'!$H$79</f>
        <v>6365</v>
      </c>
      <c r="AE105" s="361">
        <f>'Achtergrond verbruiksprofielen'!$H$79</f>
        <v>6365</v>
      </c>
      <c r="AF105" s="361">
        <f>'Achtergrond verbruiksprofielen'!$H$79</f>
        <v>6365</v>
      </c>
      <c r="AG105" s="361">
        <f>'Achtergrond verbruiksprofielen'!$H$79</f>
        <v>6365</v>
      </c>
      <c r="AH105" s="361">
        <f>'Achtergrond verbruiksprofielen'!$H$79</f>
        <v>6365</v>
      </c>
      <c r="AI105" s="60"/>
      <c r="AJ105" s="60"/>
      <c r="AK105" s="60"/>
    </row>
    <row r="106" spans="1:37" ht="15.6" x14ac:dyDescent="0.3">
      <c r="A106" s="11"/>
      <c r="B106" s="11"/>
      <c r="C106" s="11"/>
      <c r="D106" s="11"/>
      <c r="E106" s="341"/>
      <c r="F106" s="341"/>
      <c r="G106" s="341"/>
      <c r="H106" s="341"/>
      <c r="I106" s="341"/>
      <c r="J106" s="341"/>
      <c r="K106" s="341"/>
      <c r="L106" s="341"/>
      <c r="M106" s="341"/>
      <c r="N106" s="341"/>
      <c r="O106" s="341"/>
      <c r="P106" s="341"/>
      <c r="Q106" s="341"/>
      <c r="R106" s="341"/>
      <c r="S106" s="341"/>
      <c r="T106" s="341"/>
      <c r="U106" s="341"/>
      <c r="V106" s="341"/>
      <c r="W106" s="341"/>
      <c r="X106" s="341"/>
      <c r="Y106" s="341"/>
      <c r="Z106" s="341"/>
      <c r="AA106" s="341"/>
      <c r="AB106" s="341"/>
      <c r="AC106" s="341"/>
      <c r="AD106" s="341"/>
      <c r="AE106" s="341"/>
      <c r="AF106" s="341"/>
      <c r="AG106" s="341"/>
      <c r="AH106" s="341"/>
      <c r="AI106" s="60"/>
      <c r="AJ106" s="60"/>
      <c r="AK106" s="60"/>
    </row>
    <row r="107" spans="1:37" ht="15.6" x14ac:dyDescent="0.3">
      <c r="A107" s="66" t="s">
        <v>91</v>
      </c>
      <c r="B107" s="11"/>
      <c r="C107" s="11"/>
      <c r="D107" s="58" t="s">
        <v>81</v>
      </c>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60"/>
      <c r="AJ107" s="60"/>
      <c r="AK107" s="60"/>
    </row>
    <row r="108" spans="1:37" ht="18" x14ac:dyDescent="0.3">
      <c r="A108" s="11" t="s">
        <v>82</v>
      </c>
      <c r="B108" s="11"/>
      <c r="C108" s="11"/>
      <c r="D108" s="33" t="s">
        <v>90</v>
      </c>
      <c r="E108" s="50">
        <f>'Achtergrond verbruiksprofielen'!$C$94</f>
        <v>3.2000000000000001E-2</v>
      </c>
      <c r="F108" s="50">
        <f>'Achtergrond verbruiksprofielen'!$C$94</f>
        <v>3.2000000000000001E-2</v>
      </c>
      <c r="G108" s="50">
        <f>'Achtergrond verbruiksprofielen'!$C$94</f>
        <v>3.2000000000000001E-2</v>
      </c>
      <c r="H108" s="50">
        <f>'Achtergrond verbruiksprofielen'!$C$94</f>
        <v>3.2000000000000001E-2</v>
      </c>
      <c r="I108" s="50">
        <f>'Achtergrond verbruiksprofielen'!$C$94</f>
        <v>3.2000000000000001E-2</v>
      </c>
      <c r="J108" s="50">
        <f>'Achtergrond verbruiksprofielen'!$C$94</f>
        <v>3.2000000000000001E-2</v>
      </c>
      <c r="K108" s="50">
        <f>'Achtergrond verbruiksprofielen'!$C$94</f>
        <v>3.2000000000000001E-2</v>
      </c>
      <c r="L108" s="50">
        <f>'Achtergrond verbruiksprofielen'!$C$94</f>
        <v>3.2000000000000001E-2</v>
      </c>
      <c r="M108" s="50">
        <f>'Achtergrond verbruiksprofielen'!$C$94</f>
        <v>3.2000000000000001E-2</v>
      </c>
      <c r="N108" s="50">
        <f>'Achtergrond verbruiksprofielen'!$C$94</f>
        <v>3.2000000000000001E-2</v>
      </c>
      <c r="O108" s="50">
        <f>'Achtergrond verbruiksprofielen'!$C$94</f>
        <v>3.2000000000000001E-2</v>
      </c>
      <c r="P108" s="50">
        <f>'Achtergrond verbruiksprofielen'!$C$94</f>
        <v>3.2000000000000001E-2</v>
      </c>
      <c r="Q108" s="50">
        <f>'Achtergrond verbruiksprofielen'!$C$94</f>
        <v>3.2000000000000001E-2</v>
      </c>
      <c r="R108" s="50">
        <f>'Achtergrond verbruiksprofielen'!$C$94</f>
        <v>3.2000000000000001E-2</v>
      </c>
      <c r="S108" s="50">
        <f>'Achtergrond verbruiksprofielen'!$C$94</f>
        <v>3.2000000000000001E-2</v>
      </c>
      <c r="T108" s="50">
        <f>'Achtergrond verbruiksprofielen'!$C$94</f>
        <v>3.2000000000000001E-2</v>
      </c>
      <c r="U108" s="50">
        <f>'Achtergrond verbruiksprofielen'!$C$94</f>
        <v>3.2000000000000001E-2</v>
      </c>
      <c r="V108" s="50">
        <f>'Achtergrond verbruiksprofielen'!$C$94</f>
        <v>3.2000000000000001E-2</v>
      </c>
      <c r="W108" s="50">
        <f>'Achtergrond verbruiksprofielen'!$C$94</f>
        <v>3.2000000000000001E-2</v>
      </c>
      <c r="X108" s="50">
        <f>'Achtergrond verbruiksprofielen'!$C$94</f>
        <v>3.2000000000000001E-2</v>
      </c>
      <c r="Y108" s="50">
        <f>'Achtergrond verbruiksprofielen'!$C$94</f>
        <v>3.2000000000000001E-2</v>
      </c>
      <c r="Z108" s="50">
        <f>'Achtergrond verbruiksprofielen'!$C$94</f>
        <v>3.2000000000000001E-2</v>
      </c>
      <c r="AA108" s="50">
        <f>'Achtergrond verbruiksprofielen'!$C$94</f>
        <v>3.2000000000000001E-2</v>
      </c>
      <c r="AB108" s="50">
        <f>'Achtergrond verbruiksprofielen'!$C$94</f>
        <v>3.2000000000000001E-2</v>
      </c>
      <c r="AC108" s="50">
        <f>'Achtergrond verbruiksprofielen'!$C$94</f>
        <v>3.2000000000000001E-2</v>
      </c>
      <c r="AD108" s="50">
        <f>'Achtergrond verbruiksprofielen'!$C$94</f>
        <v>3.2000000000000001E-2</v>
      </c>
      <c r="AE108" s="50">
        <f>'Achtergrond verbruiksprofielen'!$C$94</f>
        <v>3.2000000000000001E-2</v>
      </c>
      <c r="AF108" s="50">
        <f>'Achtergrond verbruiksprofielen'!$C$94</f>
        <v>3.2000000000000001E-2</v>
      </c>
      <c r="AG108" s="50">
        <f>'Achtergrond verbruiksprofielen'!$C$94</f>
        <v>3.2000000000000001E-2</v>
      </c>
      <c r="AH108" s="50">
        <f>'Achtergrond verbruiksprofielen'!$C$94</f>
        <v>3.2000000000000001E-2</v>
      </c>
      <c r="AI108" s="60"/>
      <c r="AJ108" s="60"/>
      <c r="AK108" s="60"/>
    </row>
    <row r="109" spans="1:37" ht="18" x14ac:dyDescent="0.4">
      <c r="A109" s="11" t="s">
        <v>178</v>
      </c>
      <c r="B109" s="11"/>
      <c r="C109" s="11"/>
      <c r="D109" s="223" t="s">
        <v>167</v>
      </c>
      <c r="E109" s="35">
        <v>0</v>
      </c>
      <c r="F109" s="35">
        <v>0</v>
      </c>
      <c r="G109" s="35">
        <v>0</v>
      </c>
      <c r="H109" s="35">
        <f>_xlfn.FORECAST.LINEAR(H$6,'Achtergrond verbruiksprofielen'!$C$98:$D$98,'Achtergrond verbruiksprofielen'!$C$96:$D$96)</f>
        <v>1.3999999999995794E-2</v>
      </c>
      <c r="I109" s="35">
        <f>_xlfn.FORECAST.LINEAR(I$6,'Achtergrond verbruiksprofielen'!$C$98:$D$98,'Achtergrond verbruiksprofielen'!$C$96:$D$96)</f>
        <v>2.9333333333330103E-2</v>
      </c>
      <c r="J109" s="35">
        <f>_xlfn.FORECAST.LINEAR(J$6,'Achtergrond verbruiksprofielen'!$C$98:$D$98,'Achtergrond verbruiksprofielen'!$C$96:$D$96)</f>
        <v>4.4666666666664412E-2</v>
      </c>
      <c r="K109" s="35">
        <f>_xlfn.FORECAST.LINEAR(K$6,'Achtergrond verbruiksprofielen'!$C$98:$D$98,'Achtergrond verbruiksprofielen'!$C$96:$D$96)</f>
        <v>5.9999999999998721E-2</v>
      </c>
      <c r="L109" s="35">
        <f>_xlfn.FORECAST.LINEAR(L$6,'Achtergrond verbruiksprofielen'!$C$98:$D$98,'Achtergrond verbruiksprofielen'!$C$96:$D$96)</f>
        <v>7.5333333333329477E-2</v>
      </c>
      <c r="M109" s="35">
        <f>_xlfn.FORECAST.LINEAR(M$6,'Achtergrond verbruiksprofielen'!$C$98:$D$98,'Achtergrond verbruiksprofielen'!$C$96:$D$96)</f>
        <v>9.0666666666663787E-2</v>
      </c>
      <c r="N109" s="35">
        <f>_xlfn.FORECAST.LINEAR(N$6,'Achtergrond verbruiksprofielen'!$C$98:$D$98,'Achtergrond verbruiksprofielen'!$C$96:$D$96)</f>
        <v>0.1059999999999981</v>
      </c>
      <c r="O109" s="35">
        <f>_xlfn.FORECAST.LINEAR(O$6,'Achtergrond verbruiksprofielen'!$C$98:$D$98,'Achtergrond verbruiksprofielen'!$C$96:$D$96)</f>
        <v>0.1213333333333324</v>
      </c>
      <c r="P109" s="35">
        <f>_xlfn.FORECAST.LINEAR(P$6,'Achtergrond verbruiksprofielen'!$C$98:$D$98,'Achtergrond verbruiksprofielen'!$C$96:$D$96)</f>
        <v>0.13666666666666316</v>
      </c>
      <c r="Q109" s="35">
        <f>_xlfn.FORECAST.LINEAR(Q$6,'Achtergrond verbruiksprofielen'!$C$98:$D$98,'Achtergrond verbruiksprofielen'!$C$96:$D$96)</f>
        <v>0.15199999999999747</v>
      </c>
      <c r="R109" s="35">
        <f>_xlfn.FORECAST.LINEAR(R$6,'Achtergrond verbruiksprofielen'!$C$98:$D$98,'Achtergrond verbruiksprofielen'!$C$96:$D$96)</f>
        <v>0.16733333333333178</v>
      </c>
      <c r="S109" s="35">
        <f>_xlfn.FORECAST.LINEAR(S$6,'Achtergrond verbruiksprofielen'!$C$98:$D$98,'Achtergrond verbruiksprofielen'!$C$96:$D$96)</f>
        <v>0.18266666666666254</v>
      </c>
      <c r="T109" s="35">
        <f>_xlfn.FORECAST.LINEAR(T$6,'Achtergrond verbruiksprofielen'!$C$98:$D$98,'Achtergrond verbruiksprofielen'!$C$96:$D$96)</f>
        <v>0.19799999999999685</v>
      </c>
      <c r="U109" s="35">
        <f>_xlfn.FORECAST.LINEAR(U$6,'Achtergrond verbruiksprofielen'!$C$98:$D$98,'Achtergrond verbruiksprofielen'!$C$96:$D$96)</f>
        <v>0.21333333333333115</v>
      </c>
      <c r="V109" s="35">
        <f>_xlfn.FORECAST.LINEAR(V$6,'Achtergrond verbruiksprofielen'!$C$98:$D$98,'Achtergrond verbruiksprofielen'!$C$96:$D$96)</f>
        <v>0.22866666666666546</v>
      </c>
      <c r="W109" s="35">
        <f>_xlfn.FORECAST.LINEAR(W$6,'Achtergrond verbruiksprofielen'!$C$98:$D$98,'Achtergrond verbruiksprofielen'!$C$96:$D$96)</f>
        <v>0.24399999999999622</v>
      </c>
      <c r="X109" s="35">
        <f>_xlfn.FORECAST.LINEAR(X$6,'Achtergrond verbruiksprofielen'!$C$98:$D$98,'Achtergrond verbruiksprofielen'!$C$96:$D$96)</f>
        <v>0.25933333333333053</v>
      </c>
      <c r="Y109" s="35">
        <f>_xlfn.FORECAST.LINEAR(Y$6,'Achtergrond verbruiksprofielen'!$C$98:$D$98,'Achtergrond verbruiksprofielen'!$C$96:$D$96)</f>
        <v>0.27466666666666484</v>
      </c>
      <c r="Z109" s="35">
        <f>_xlfn.FORECAST.LINEAR(Z$6,'Achtergrond verbruiksprofielen'!$C$98:$D$98,'Achtergrond verbruiksprofielen'!$C$96:$D$96)</f>
        <v>0.28999999999999915</v>
      </c>
      <c r="AA109" s="35">
        <f>_xlfn.FORECAST.LINEAR(AA$6,'Achtergrond verbruiksprofielen'!$C$98:$D$98,'Achtergrond verbruiksprofielen'!$C$96:$D$96)</f>
        <v>0.3053333333333299</v>
      </c>
      <c r="AB109" s="35">
        <f>_xlfn.FORECAST.LINEAR(AB$6,'Achtergrond verbruiksprofielen'!$C$98:$D$98,'Achtergrond verbruiksprofielen'!$C$96:$D$96)</f>
        <v>0.32066666666666421</v>
      </c>
      <c r="AC109" s="35">
        <f>_xlfn.FORECAST.LINEAR(AC$6,'Achtergrond verbruiksprofielen'!$C$98:$D$98,'Achtergrond verbruiksprofielen'!$C$96:$D$96)</f>
        <v>0.33599999999999852</v>
      </c>
      <c r="AD109" s="35">
        <f>'Achtergrond verbruiksprofielen'!$D$98</f>
        <v>0.06</v>
      </c>
      <c r="AE109" s="35">
        <f>'Achtergrond verbruiksprofielen'!$D$98</f>
        <v>0.06</v>
      </c>
      <c r="AF109" s="35">
        <f>'Achtergrond verbruiksprofielen'!$D$98</f>
        <v>0.06</v>
      </c>
      <c r="AG109" s="35">
        <f>'Achtergrond verbruiksprofielen'!$D$98</f>
        <v>0.06</v>
      </c>
      <c r="AH109" s="35">
        <f>'Achtergrond verbruiksprofielen'!$D$98</f>
        <v>0.06</v>
      </c>
      <c r="AI109" s="60"/>
      <c r="AJ109" s="60"/>
      <c r="AK109" s="60"/>
    </row>
    <row r="110" spans="1:37" ht="18" x14ac:dyDescent="0.3">
      <c r="A110" s="11" t="s">
        <v>86</v>
      </c>
      <c r="B110" s="11"/>
      <c r="C110" s="11"/>
      <c r="D110" s="33" t="s">
        <v>62</v>
      </c>
      <c r="E110" s="35">
        <f>'Achtergrond verbruiksprofielen'!$C$122</f>
        <v>7.5228378406956689E-2</v>
      </c>
      <c r="F110" s="35">
        <f>'Achtergrond verbruiksprofielen'!$C$122+(F94-'Achtergrond verbruiksprofielen'!$C$120)*('Achtergrond verbruiksprofielen'!$D$122-'Achtergrond verbruiksprofielen'!$C$122)/('Achtergrond verbruiksprofielen'!$D$120-'Achtergrond verbruiksprofielen'!$C$120)</f>
        <v>7.6653576375000698E-2</v>
      </c>
      <c r="G110" s="35">
        <f>'Achtergrond verbruiksprofielen'!$C$122+(G94-'Achtergrond verbruiksprofielen'!$C$120)*('Achtergrond verbruiksprofielen'!$D$122-'Achtergrond verbruiksprofielen'!$C$122)/('Achtergrond verbruiksprofielen'!$D$120-'Achtergrond verbruiksprofielen'!$C$120)</f>
        <v>7.8078774343044707E-2</v>
      </c>
      <c r="H110" s="35">
        <f>'Achtergrond verbruiksprofielen'!$C$122+(H94-'Achtergrond verbruiksprofielen'!$C$120)*('Achtergrond verbruiksprofielen'!$D$122-'Achtergrond verbruiksprofielen'!$C$122)/('Achtergrond verbruiksprofielen'!$D$120-'Achtergrond verbruiksprofielen'!$C$120)</f>
        <v>7.9503972311088703E-2</v>
      </c>
      <c r="I110" s="35">
        <f>'Achtergrond verbruiksprofielen'!$C$122+(I94-'Achtergrond verbruiksprofielen'!$C$120)*('Achtergrond verbruiksprofielen'!$D$122-'Achtergrond verbruiksprofielen'!$C$122)/('Achtergrond verbruiksprofielen'!$D$120-'Achtergrond verbruiksprofielen'!$C$120)</f>
        <v>8.0929170279132712E-2</v>
      </c>
      <c r="J110" s="35">
        <f>'Achtergrond verbruiksprofielen'!$D$122</f>
        <v>8.2354368247176721E-2</v>
      </c>
      <c r="K110" s="35">
        <f>'Achtergrond verbruiksprofielen'!$D$122+(K94-'Achtergrond verbruiksprofielen'!$D$120)*('Achtergrond verbruiksprofielen'!$E$122-'Achtergrond verbruiksprofielen'!$D$122)/('Achtergrond verbruiksprofielen'!$E$120-'Achtergrond verbruiksprofielen'!$D$120)</f>
        <v>7.9486469788988864E-2</v>
      </c>
      <c r="L110" s="35">
        <f>'Achtergrond verbruiksprofielen'!$D$122+(L94-'Achtergrond verbruiksprofielen'!$D$120)*('Achtergrond verbruiksprofielen'!$E$122-'Achtergrond verbruiksprofielen'!$D$122)/('Achtergrond verbruiksprofielen'!$E$120-'Achtergrond verbruiksprofielen'!$D$120)</f>
        <v>7.6618571330801008E-2</v>
      </c>
      <c r="M110" s="35">
        <f>'Achtergrond verbruiksprofielen'!$D$122+(M94-'Achtergrond verbruiksprofielen'!$D$120)*('Achtergrond verbruiksprofielen'!$E$122-'Achtergrond verbruiksprofielen'!$D$122)/('Achtergrond verbruiksprofielen'!$E$120-'Achtergrond verbruiksprofielen'!$D$120)</f>
        <v>7.3750672872613152E-2</v>
      </c>
      <c r="N110" s="35">
        <f>'Achtergrond verbruiksprofielen'!$D$122+(N94-'Achtergrond verbruiksprofielen'!$D$120)*('Achtergrond verbruiksprofielen'!$E$122-'Achtergrond verbruiksprofielen'!$D$122)/('Achtergrond verbruiksprofielen'!$E$120-'Achtergrond verbruiksprofielen'!$D$120)</f>
        <v>7.0882774414425295E-2</v>
      </c>
      <c r="O110" s="35">
        <f>'Achtergrond verbruiksprofielen'!$E$122</f>
        <v>6.8014875956237439E-2</v>
      </c>
      <c r="P110" s="35">
        <f>'Achtergrond verbruiksprofielen'!$E$122+(P94-'Achtergrond verbruiksprofielen'!$E$120)*('Achtergrond verbruiksprofielen'!$F$122-'Achtergrond verbruiksprofielen'!$E$122)/('Achtergrond verbruiksprofielen'!$F$120-'Achtergrond verbruiksprofielen'!$E$120)</f>
        <v>6.8135799723840665E-2</v>
      </c>
      <c r="Q110" s="35">
        <f>'Achtergrond verbruiksprofielen'!$E$122+(Q94-'Achtergrond verbruiksprofielen'!$E$120)*('Achtergrond verbruiksprofielen'!$F$122-'Achtergrond verbruiksprofielen'!$E$122)/('Achtergrond verbruiksprofielen'!$F$120-'Achtergrond verbruiksprofielen'!$E$120)</f>
        <v>6.8256723491443891E-2</v>
      </c>
      <c r="R110" s="35">
        <f>'Achtergrond verbruiksprofielen'!$E$122+(R94-'Achtergrond verbruiksprofielen'!$E$120)*('Achtergrond verbruiksprofielen'!$F$122-'Achtergrond verbruiksprofielen'!$E$122)/('Achtergrond verbruiksprofielen'!$F$120-'Achtergrond verbruiksprofielen'!$E$120)</f>
        <v>6.8377647259047131E-2</v>
      </c>
      <c r="S110" s="35">
        <f>'Achtergrond verbruiksprofielen'!$E$122+(S94-'Achtergrond verbruiksprofielen'!$E$120)*('Achtergrond verbruiksprofielen'!$F$122-'Achtergrond verbruiksprofielen'!$E$122)/('Achtergrond verbruiksprofielen'!$F$120-'Achtergrond verbruiksprofielen'!$E$120)</f>
        <v>6.8498571026650357E-2</v>
      </c>
      <c r="T110" s="35">
        <f>'Achtergrond verbruiksprofielen'!$F$122</f>
        <v>6.8619494794253583E-2</v>
      </c>
      <c r="U110" s="35">
        <f>'Achtergrond verbruiksprofielen'!$F$122+(U94-'Achtergrond verbruiksprofielen'!$F$120)*('Achtergrond verbruiksprofielen'!$G$122-'Achtergrond verbruiksprofielen'!$F$122)/('Achtergrond verbruiksprofielen'!$G$120-'Achtergrond verbruiksprofielen'!$F$120)</f>
        <v>6.914103178957727E-2</v>
      </c>
      <c r="V110" s="35">
        <f>'Achtergrond verbruiksprofielen'!$F$122+(V94-'Achtergrond verbruiksprofielen'!$F$120)*('Achtergrond verbruiksprofielen'!$G$122-'Achtergrond verbruiksprofielen'!$F$122)/('Achtergrond verbruiksprofielen'!$G$120-'Achtergrond verbruiksprofielen'!$F$120)</f>
        <v>6.9662568784900958E-2</v>
      </c>
      <c r="W110" s="35">
        <f>'Achtergrond verbruiksprofielen'!$F$122+(W94-'Achtergrond verbruiksprofielen'!$F$120)*('Achtergrond verbruiksprofielen'!$G$122-'Achtergrond verbruiksprofielen'!$F$122)/('Achtergrond verbruiksprofielen'!$G$120-'Achtergrond verbruiksprofielen'!$F$120)</f>
        <v>7.0184105780224659E-2</v>
      </c>
      <c r="X110" s="35">
        <f>'Achtergrond verbruiksprofielen'!$F$122+(X94-'Achtergrond verbruiksprofielen'!$F$120)*('Achtergrond verbruiksprofielen'!$G$122-'Achtergrond verbruiksprofielen'!$F$122)/('Achtergrond verbruiksprofielen'!$G$120-'Achtergrond verbruiksprofielen'!$F$120)</f>
        <v>7.0705642775548347E-2</v>
      </c>
      <c r="Y110" s="35">
        <f>'Achtergrond verbruiksprofielen'!$G$122</f>
        <v>7.1227179770872034E-2</v>
      </c>
      <c r="Z110" s="35">
        <f>'Achtergrond verbruiksprofielen'!$G$122+(Z94-'Achtergrond verbruiksprofielen'!$G$120)*('Achtergrond verbruiksprofielen'!$H$122-'Achtergrond verbruiksprofielen'!$G$122)/('Achtergrond verbruiksprofielen'!$H$120-'Achtergrond verbruiksprofielen'!$G$120)</f>
        <v>6.9615137067999294E-2</v>
      </c>
      <c r="AA110" s="35">
        <f>'Achtergrond verbruiksprofielen'!$G$122+(AA94-'Achtergrond verbruiksprofielen'!$G$120)*('Achtergrond verbruiksprofielen'!$H$122-'Achtergrond verbruiksprofielen'!$G$122)/('Achtergrond verbruiksprofielen'!$H$120-'Achtergrond verbruiksprofielen'!$G$120)</f>
        <v>6.8003094365126554E-2</v>
      </c>
      <c r="AB110" s="35">
        <f>'Achtergrond verbruiksprofielen'!$G$122+(AB94-'Achtergrond verbruiksprofielen'!$G$120)*('Achtergrond verbruiksprofielen'!$H$122-'Achtergrond verbruiksprofielen'!$G$122)/('Achtergrond verbruiksprofielen'!$H$120-'Achtergrond verbruiksprofielen'!$G$120)</f>
        <v>6.63910516622538E-2</v>
      </c>
      <c r="AC110" s="35">
        <f>'Achtergrond verbruiksprofielen'!$G$122+(AC94-'Achtergrond verbruiksprofielen'!$G$120)*('Achtergrond verbruiksprofielen'!$H$122-'Achtergrond verbruiksprofielen'!$G$122)/('Achtergrond verbruiksprofielen'!$H$120-'Achtergrond verbruiksprofielen'!$G$120)</f>
        <v>6.477900895938106E-2</v>
      </c>
      <c r="AD110" s="35">
        <f>'Achtergrond verbruiksprofielen'!$H$122</f>
        <v>6.316696625650832E-2</v>
      </c>
      <c r="AE110" s="35">
        <f>'Achtergrond verbruiksprofielen'!$H$122</f>
        <v>6.316696625650832E-2</v>
      </c>
      <c r="AF110" s="35">
        <f>'Achtergrond verbruiksprofielen'!$H$122</f>
        <v>6.316696625650832E-2</v>
      </c>
      <c r="AG110" s="35">
        <f>'Achtergrond verbruiksprofielen'!$H$122</f>
        <v>6.316696625650832E-2</v>
      </c>
      <c r="AH110" s="35">
        <f>'Achtergrond verbruiksprofielen'!$H$122</f>
        <v>6.316696625650832E-2</v>
      </c>
      <c r="AI110" s="60"/>
      <c r="AJ110" s="60"/>
      <c r="AK110" s="60"/>
    </row>
    <row r="111" spans="1:37" ht="15.6" x14ac:dyDescent="0.3">
      <c r="A111" s="11" t="s">
        <v>87</v>
      </c>
      <c r="B111" s="11"/>
      <c r="C111" s="33"/>
      <c r="D111" s="33" t="s">
        <v>88</v>
      </c>
      <c r="E111" s="361">
        <f>'Achtergrond verbruiksprofielen'!$C$123</f>
        <v>6365</v>
      </c>
      <c r="F111" s="361">
        <f>'Achtergrond verbruiksprofielen'!$C$123+(F94-'Achtergrond verbruiksprofielen'!$C$120)*('Achtergrond verbruiksprofielen'!$D$123-'Achtergrond verbruiksprofielen'!$C$123)/('Achtergrond verbruiksprofielen'!$D$120-'Achtergrond verbruiksprofielen'!$C$120)</f>
        <v>6365</v>
      </c>
      <c r="G111" s="361">
        <f>'Achtergrond verbruiksprofielen'!$C$123+(G94-'Achtergrond verbruiksprofielen'!$C$120)*('Achtergrond verbruiksprofielen'!$D$123-'Achtergrond verbruiksprofielen'!$C$123)/('Achtergrond verbruiksprofielen'!$D$120-'Achtergrond verbruiksprofielen'!$C$120)</f>
        <v>6365</v>
      </c>
      <c r="H111" s="361">
        <f>'Achtergrond verbruiksprofielen'!$C$123+(H94-'Achtergrond verbruiksprofielen'!$C$120)*('Achtergrond verbruiksprofielen'!$D$123-'Achtergrond verbruiksprofielen'!$C$123)/('Achtergrond verbruiksprofielen'!$D$120-'Achtergrond verbruiksprofielen'!$C$120)</f>
        <v>6365</v>
      </c>
      <c r="I111" s="361">
        <f>'Achtergrond verbruiksprofielen'!$C$123+(I94-'Achtergrond verbruiksprofielen'!$C$120)*('Achtergrond verbruiksprofielen'!$D$123-'Achtergrond verbruiksprofielen'!$C$123)/('Achtergrond verbruiksprofielen'!$D$120-'Achtergrond verbruiksprofielen'!$C$120)</f>
        <v>6365</v>
      </c>
      <c r="J111" s="361">
        <f>'Achtergrond verbruiksprofielen'!$D$123</f>
        <v>6365</v>
      </c>
      <c r="K111" s="361">
        <f>'Achtergrond verbruiksprofielen'!$D$123+(K94-'Achtergrond verbruiksprofielen'!$D$120)*('Achtergrond verbruiksprofielen'!$E$123-'Achtergrond verbruiksprofielen'!$D$123)/('Achtergrond verbruiksprofielen'!$E$120-'Achtergrond verbruiksprofielen'!$D$120)</f>
        <v>6365</v>
      </c>
      <c r="L111" s="361">
        <f>'Achtergrond verbruiksprofielen'!$D$123+(L94-'Achtergrond verbruiksprofielen'!$D$120)*('Achtergrond verbruiksprofielen'!$E$123-'Achtergrond verbruiksprofielen'!$D$123)/('Achtergrond verbruiksprofielen'!$E$120-'Achtergrond verbruiksprofielen'!$D$120)</f>
        <v>6365</v>
      </c>
      <c r="M111" s="361">
        <f>'Achtergrond verbruiksprofielen'!$D$123+(M94-'Achtergrond verbruiksprofielen'!$D$120)*('Achtergrond verbruiksprofielen'!$E$123-'Achtergrond verbruiksprofielen'!$D$123)/('Achtergrond verbruiksprofielen'!$E$120-'Achtergrond verbruiksprofielen'!$D$120)</f>
        <v>6365</v>
      </c>
      <c r="N111" s="361">
        <f>'Achtergrond verbruiksprofielen'!$D$123+(N94-'Achtergrond verbruiksprofielen'!$D$120)*('Achtergrond verbruiksprofielen'!$E$123-'Achtergrond verbruiksprofielen'!$D$123)/('Achtergrond verbruiksprofielen'!$E$120-'Achtergrond verbruiksprofielen'!$D$120)</f>
        <v>6365</v>
      </c>
      <c r="O111" s="361">
        <f>'Achtergrond verbruiksprofielen'!$E$123</f>
        <v>6365</v>
      </c>
      <c r="P111" s="361">
        <f>'Achtergrond verbruiksprofielen'!$E$123+(P94-'Achtergrond verbruiksprofielen'!$E$120)*('Achtergrond verbruiksprofielen'!$F$123-'Achtergrond verbruiksprofielen'!$E$123)/('Achtergrond verbruiksprofielen'!$F$120-'Achtergrond verbruiksprofielen'!$E$120)</f>
        <v>6365</v>
      </c>
      <c r="Q111" s="361">
        <f>'Achtergrond verbruiksprofielen'!$E$123+(Q94-'Achtergrond verbruiksprofielen'!$E$120)*('Achtergrond verbruiksprofielen'!$F$123-'Achtergrond verbruiksprofielen'!$E$123)/('Achtergrond verbruiksprofielen'!$F$120-'Achtergrond verbruiksprofielen'!$E$120)</f>
        <v>6365</v>
      </c>
      <c r="R111" s="361">
        <f>'Achtergrond verbruiksprofielen'!$E$123+(R94-'Achtergrond verbruiksprofielen'!$E$120)*('Achtergrond verbruiksprofielen'!$F$123-'Achtergrond verbruiksprofielen'!$E$123)/('Achtergrond verbruiksprofielen'!$F$120-'Achtergrond verbruiksprofielen'!$E$120)</f>
        <v>6365</v>
      </c>
      <c r="S111" s="361">
        <f>'Achtergrond verbruiksprofielen'!$E$123+(S94-'Achtergrond verbruiksprofielen'!$E$120)*('Achtergrond verbruiksprofielen'!$F$123-'Achtergrond verbruiksprofielen'!$E$123)/('Achtergrond verbruiksprofielen'!$F$120-'Achtergrond verbruiksprofielen'!$E$120)</f>
        <v>6365</v>
      </c>
      <c r="T111" s="361">
        <f>'Achtergrond verbruiksprofielen'!$F$123</f>
        <v>6365</v>
      </c>
      <c r="U111" s="361">
        <f>'Achtergrond verbruiksprofielen'!$F$123+(U94-'Achtergrond verbruiksprofielen'!$F$120)*('Achtergrond verbruiksprofielen'!$G$123-'Achtergrond verbruiksprofielen'!$F$123)/('Achtergrond verbruiksprofielen'!$G$120-'Achtergrond verbruiksprofielen'!$F$120)</f>
        <v>6365</v>
      </c>
      <c r="V111" s="361">
        <f>'Achtergrond verbruiksprofielen'!$F$123+(V94-'Achtergrond verbruiksprofielen'!$F$120)*('Achtergrond verbruiksprofielen'!$G$123-'Achtergrond verbruiksprofielen'!$F$123)/('Achtergrond verbruiksprofielen'!$G$120-'Achtergrond verbruiksprofielen'!$F$120)</f>
        <v>6365</v>
      </c>
      <c r="W111" s="361">
        <f>'Achtergrond verbruiksprofielen'!$F$123+(W94-'Achtergrond verbruiksprofielen'!$F$120)*('Achtergrond verbruiksprofielen'!$G$123-'Achtergrond verbruiksprofielen'!$F$123)/('Achtergrond verbruiksprofielen'!$G$120-'Achtergrond verbruiksprofielen'!$F$120)</f>
        <v>6365</v>
      </c>
      <c r="X111" s="361">
        <f>'Achtergrond verbruiksprofielen'!$F$123+(X94-'Achtergrond verbruiksprofielen'!$F$120)*('Achtergrond verbruiksprofielen'!$G$123-'Achtergrond verbruiksprofielen'!$F$123)/('Achtergrond verbruiksprofielen'!$G$120-'Achtergrond verbruiksprofielen'!$F$120)</f>
        <v>6365</v>
      </c>
      <c r="Y111" s="361">
        <f>'Achtergrond verbruiksprofielen'!$G$123</f>
        <v>6365</v>
      </c>
      <c r="Z111" s="361">
        <f>'Achtergrond verbruiksprofielen'!$G$123+(Z94-'Achtergrond verbruiksprofielen'!$G$120)*('Achtergrond verbruiksprofielen'!$H$123-'Achtergrond verbruiksprofielen'!$G$123)/('Achtergrond verbruiksprofielen'!$H$120-'Achtergrond verbruiksprofielen'!$G$120)</f>
        <v>6365</v>
      </c>
      <c r="AA111" s="361">
        <f>'Achtergrond verbruiksprofielen'!$G$123+(AA94-'Achtergrond verbruiksprofielen'!$G$120)*('Achtergrond verbruiksprofielen'!$H$123-'Achtergrond verbruiksprofielen'!$G$123)/('Achtergrond verbruiksprofielen'!$H$120-'Achtergrond verbruiksprofielen'!$G$120)</f>
        <v>6365</v>
      </c>
      <c r="AB111" s="361">
        <f>'Achtergrond verbruiksprofielen'!$G$123+(AB94-'Achtergrond verbruiksprofielen'!$G$120)*('Achtergrond verbruiksprofielen'!$H$123-'Achtergrond verbruiksprofielen'!$G$123)/('Achtergrond verbruiksprofielen'!$H$120-'Achtergrond verbruiksprofielen'!$G$120)</f>
        <v>6365</v>
      </c>
      <c r="AC111" s="361">
        <f>'Achtergrond verbruiksprofielen'!$G$123+(AC94-'Achtergrond verbruiksprofielen'!$G$120)*('Achtergrond verbruiksprofielen'!$H$123-'Achtergrond verbruiksprofielen'!$G$123)/('Achtergrond verbruiksprofielen'!$H$120-'Achtergrond verbruiksprofielen'!$G$120)</f>
        <v>6365</v>
      </c>
      <c r="AD111" s="361">
        <f>'Achtergrond verbruiksprofielen'!$H$123</f>
        <v>6365</v>
      </c>
      <c r="AE111" s="361">
        <f>'Achtergrond verbruiksprofielen'!$H$123</f>
        <v>6365</v>
      </c>
      <c r="AF111" s="361">
        <f>'Achtergrond verbruiksprofielen'!$H$123</f>
        <v>6365</v>
      </c>
      <c r="AG111" s="361">
        <f>'Achtergrond verbruiksprofielen'!$H$123</f>
        <v>6365</v>
      </c>
      <c r="AH111" s="361">
        <f>'Achtergrond verbruiksprofielen'!$H$123</f>
        <v>6365</v>
      </c>
      <c r="AI111" s="60"/>
      <c r="AJ111" s="60"/>
      <c r="AK111" s="60"/>
    </row>
    <row r="112" spans="1:37" x14ac:dyDescent="0.3">
      <c r="A112" s="60"/>
      <c r="B112" s="60"/>
      <c r="C112" s="60"/>
      <c r="D112" s="60"/>
      <c r="E112" s="341"/>
      <c r="F112" s="341"/>
      <c r="G112" s="341"/>
      <c r="H112" s="341"/>
      <c r="I112" s="341"/>
      <c r="J112" s="341"/>
      <c r="K112" s="341"/>
      <c r="L112" s="341"/>
      <c r="M112" s="341"/>
      <c r="N112" s="341"/>
      <c r="O112" s="341"/>
      <c r="P112" s="341"/>
      <c r="Q112" s="341"/>
      <c r="R112" s="341"/>
      <c r="S112" s="341"/>
      <c r="T112" s="341"/>
      <c r="U112" s="341"/>
      <c r="V112" s="341"/>
      <c r="W112" s="341"/>
      <c r="X112" s="341"/>
      <c r="Y112" s="341"/>
      <c r="Z112" s="341"/>
      <c r="AA112" s="341"/>
      <c r="AB112" s="341"/>
      <c r="AC112" s="341"/>
      <c r="AD112" s="341"/>
      <c r="AE112" s="341"/>
      <c r="AF112" s="341"/>
      <c r="AG112" s="341"/>
      <c r="AH112" s="341"/>
      <c r="AI112" s="60"/>
      <c r="AJ112" s="60"/>
      <c r="AK112" s="60"/>
    </row>
    <row r="113" spans="1:37" ht="15" thickBot="1" x14ac:dyDescent="0.35">
      <c r="A113" s="222"/>
      <c r="B113" s="222"/>
      <c r="C113" s="222"/>
      <c r="D113" s="222"/>
      <c r="E113" s="342"/>
      <c r="F113" s="342"/>
      <c r="G113" s="342"/>
      <c r="H113" s="342"/>
      <c r="I113" s="342"/>
      <c r="J113" s="342"/>
      <c r="K113" s="342"/>
      <c r="L113" s="342"/>
      <c r="M113" s="342"/>
      <c r="N113" s="342"/>
      <c r="O113" s="342"/>
      <c r="P113" s="342"/>
      <c r="Q113" s="342"/>
      <c r="R113" s="342"/>
      <c r="S113" s="342"/>
      <c r="T113" s="342"/>
      <c r="U113" s="342"/>
      <c r="V113" s="342"/>
      <c r="W113" s="342"/>
      <c r="X113" s="342"/>
      <c r="Y113" s="342"/>
      <c r="Z113" s="342"/>
      <c r="AA113" s="342"/>
      <c r="AB113" s="342"/>
      <c r="AC113" s="342"/>
      <c r="AD113" s="342"/>
      <c r="AE113" s="342"/>
      <c r="AF113" s="342"/>
      <c r="AG113" s="342"/>
      <c r="AH113" s="342"/>
      <c r="AI113" s="222"/>
      <c r="AJ113" s="60"/>
      <c r="AK113" s="60"/>
    </row>
    <row r="114" spans="1:37" x14ac:dyDescent="0.3">
      <c r="A114" s="60"/>
      <c r="B114" s="60"/>
      <c r="C114" s="60"/>
      <c r="D114" s="60"/>
      <c r="E114" s="341"/>
      <c r="F114" s="341"/>
      <c r="G114" s="341"/>
      <c r="H114" s="341"/>
      <c r="I114" s="341"/>
      <c r="J114" s="341"/>
      <c r="K114" s="341"/>
      <c r="L114" s="341"/>
      <c r="M114" s="341"/>
      <c r="N114" s="341"/>
      <c r="O114" s="341"/>
      <c r="P114" s="341"/>
      <c r="Q114" s="341"/>
      <c r="R114" s="341"/>
      <c r="S114" s="341"/>
      <c r="T114" s="341"/>
      <c r="U114" s="341"/>
      <c r="V114" s="341"/>
      <c r="W114" s="341"/>
      <c r="X114" s="341"/>
      <c r="Y114" s="341"/>
      <c r="Z114" s="341"/>
      <c r="AA114" s="341"/>
      <c r="AB114" s="341"/>
      <c r="AC114" s="341"/>
      <c r="AD114" s="341"/>
      <c r="AE114" s="341"/>
      <c r="AF114" s="341"/>
      <c r="AG114" s="341"/>
      <c r="AH114" s="341"/>
      <c r="AI114" s="60"/>
      <c r="AJ114" s="60"/>
      <c r="AK114" s="60"/>
    </row>
    <row r="115" spans="1:37" ht="21" x14ac:dyDescent="0.4">
      <c r="A115" s="221" t="str">
        <f>'Dropdown lists'!H8</f>
        <v>FULL FLEX YEARLY</v>
      </c>
      <c r="B115" s="66"/>
      <c r="C115" s="11"/>
      <c r="D115" s="11"/>
      <c r="E115" s="341"/>
      <c r="F115" s="341"/>
      <c r="G115" s="341"/>
      <c r="H115" s="341"/>
      <c r="I115" s="341"/>
      <c r="J115" s="341"/>
      <c r="K115" s="341"/>
      <c r="L115" s="341"/>
      <c r="M115" s="341"/>
      <c r="N115" s="341"/>
      <c r="O115" s="341"/>
      <c r="P115" s="341"/>
      <c r="Q115" s="341"/>
      <c r="R115" s="341"/>
      <c r="S115" s="341"/>
      <c r="T115" s="341"/>
      <c r="U115" s="341"/>
      <c r="V115" s="341"/>
      <c r="W115" s="341"/>
      <c r="X115" s="341"/>
      <c r="Y115" s="341"/>
      <c r="Z115" s="341"/>
      <c r="AA115" s="341"/>
      <c r="AB115" s="341"/>
      <c r="AC115" s="341"/>
      <c r="AD115" s="341"/>
      <c r="AE115" s="341"/>
      <c r="AF115" s="341"/>
      <c r="AG115" s="341"/>
      <c r="AH115" s="341"/>
      <c r="AI115" s="60"/>
      <c r="AJ115" s="60"/>
      <c r="AK115" s="60"/>
    </row>
    <row r="116" spans="1:37" ht="15.6" x14ac:dyDescent="0.3">
      <c r="A116" s="11"/>
      <c r="B116" s="11"/>
      <c r="C116" s="11"/>
      <c r="D116" s="11"/>
      <c r="E116" s="341">
        <v>2025</v>
      </c>
      <c r="F116" s="341">
        <v>2026</v>
      </c>
      <c r="G116" s="341">
        <v>2027</v>
      </c>
      <c r="H116" s="341">
        <v>2028</v>
      </c>
      <c r="I116" s="341">
        <v>2029</v>
      </c>
      <c r="J116" s="341">
        <v>2030</v>
      </c>
      <c r="K116" s="341">
        <v>2031</v>
      </c>
      <c r="L116" s="341">
        <v>2032</v>
      </c>
      <c r="M116" s="341">
        <v>2033</v>
      </c>
      <c r="N116" s="341">
        <v>2034</v>
      </c>
      <c r="O116" s="341">
        <v>2035</v>
      </c>
      <c r="P116" s="341">
        <v>2036</v>
      </c>
      <c r="Q116" s="341">
        <v>2037</v>
      </c>
      <c r="R116" s="341">
        <v>2038</v>
      </c>
      <c r="S116" s="341">
        <v>2039</v>
      </c>
      <c r="T116" s="341">
        <v>2040</v>
      </c>
      <c r="U116" s="341">
        <v>2041</v>
      </c>
      <c r="V116" s="341">
        <v>2042</v>
      </c>
      <c r="W116" s="341">
        <v>2043</v>
      </c>
      <c r="X116" s="341">
        <v>2044</v>
      </c>
      <c r="Y116" s="341">
        <v>2045</v>
      </c>
      <c r="Z116" s="341">
        <v>2046</v>
      </c>
      <c r="AA116" s="341">
        <v>2047</v>
      </c>
      <c r="AB116" s="341">
        <v>2048</v>
      </c>
      <c r="AC116" s="341">
        <v>2049</v>
      </c>
      <c r="AD116" s="341">
        <v>2050</v>
      </c>
      <c r="AE116" s="341">
        <v>2051</v>
      </c>
      <c r="AF116" s="341">
        <v>2052</v>
      </c>
      <c r="AG116" s="341">
        <v>2053</v>
      </c>
      <c r="AH116" s="341">
        <v>2054</v>
      </c>
      <c r="AI116" s="60"/>
      <c r="AJ116" s="60"/>
      <c r="AK116" s="60"/>
    </row>
    <row r="117" spans="1:37" ht="15.6" x14ac:dyDescent="0.3">
      <c r="A117" s="66" t="s">
        <v>80</v>
      </c>
      <c r="B117" s="11"/>
      <c r="C117" s="58"/>
      <c r="D117" s="58" t="s">
        <v>81</v>
      </c>
      <c r="E117" s="58">
        <v>1</v>
      </c>
      <c r="F117" s="58">
        <v>2</v>
      </c>
      <c r="G117" s="58">
        <v>3</v>
      </c>
      <c r="H117" s="58">
        <v>4</v>
      </c>
      <c r="I117" s="58">
        <v>5</v>
      </c>
      <c r="J117" s="58">
        <v>6</v>
      </c>
      <c r="K117" s="58">
        <v>7</v>
      </c>
      <c r="L117" s="58">
        <v>8</v>
      </c>
      <c r="M117" s="58">
        <v>9</v>
      </c>
      <c r="N117" s="58">
        <v>10</v>
      </c>
      <c r="O117" s="58">
        <v>11</v>
      </c>
      <c r="P117" s="58">
        <v>12</v>
      </c>
      <c r="Q117" s="58">
        <v>13</v>
      </c>
      <c r="R117" s="58">
        <v>14</v>
      </c>
      <c r="S117" s="58">
        <v>15</v>
      </c>
      <c r="T117" s="58">
        <v>16</v>
      </c>
      <c r="U117" s="58">
        <v>17</v>
      </c>
      <c r="V117" s="58">
        <v>18</v>
      </c>
      <c r="W117" s="58">
        <v>19</v>
      </c>
      <c r="X117" s="58">
        <v>20</v>
      </c>
      <c r="Y117" s="58">
        <v>21</v>
      </c>
      <c r="Z117" s="58">
        <v>22</v>
      </c>
      <c r="AA117" s="58">
        <v>23</v>
      </c>
      <c r="AB117" s="58">
        <v>24</v>
      </c>
      <c r="AC117" s="58">
        <v>25</v>
      </c>
      <c r="AD117" s="58">
        <v>26</v>
      </c>
      <c r="AE117" s="58">
        <v>27</v>
      </c>
      <c r="AF117" s="58">
        <v>28</v>
      </c>
      <c r="AG117" s="58">
        <v>29</v>
      </c>
      <c r="AH117" s="58">
        <v>30</v>
      </c>
      <c r="AI117" s="60"/>
      <c r="AJ117" s="60"/>
      <c r="AK117" s="60"/>
    </row>
    <row r="118" spans="1:37" ht="18" x14ac:dyDescent="0.3">
      <c r="A118" s="11" t="s">
        <v>82</v>
      </c>
      <c r="B118" s="11"/>
      <c r="C118" s="33"/>
      <c r="D118" s="33" t="s">
        <v>90</v>
      </c>
      <c r="E118" s="50">
        <f>'Achtergrond verbruiksprofielen'!$C$94</f>
        <v>3.2000000000000001E-2</v>
      </c>
      <c r="F118" s="50">
        <f>'Achtergrond verbruiksprofielen'!$C$94</f>
        <v>3.2000000000000001E-2</v>
      </c>
      <c r="G118" s="50">
        <f>'Achtergrond verbruiksprofielen'!$C$94</f>
        <v>3.2000000000000001E-2</v>
      </c>
      <c r="H118" s="50">
        <f>'Achtergrond verbruiksprofielen'!$C$94</f>
        <v>3.2000000000000001E-2</v>
      </c>
      <c r="I118" s="50">
        <f>'Achtergrond verbruiksprofielen'!$C$94</f>
        <v>3.2000000000000001E-2</v>
      </c>
      <c r="J118" s="50">
        <f>'Achtergrond verbruiksprofielen'!$C$94</f>
        <v>3.2000000000000001E-2</v>
      </c>
      <c r="K118" s="50">
        <f>'Achtergrond verbruiksprofielen'!$C$94</f>
        <v>3.2000000000000001E-2</v>
      </c>
      <c r="L118" s="50">
        <f>'Achtergrond verbruiksprofielen'!$C$94</f>
        <v>3.2000000000000001E-2</v>
      </c>
      <c r="M118" s="50">
        <f>'Achtergrond verbruiksprofielen'!$C$94</f>
        <v>3.2000000000000001E-2</v>
      </c>
      <c r="N118" s="50">
        <f>'Achtergrond verbruiksprofielen'!$C$94</f>
        <v>3.2000000000000001E-2</v>
      </c>
      <c r="O118" s="50">
        <f>'Achtergrond verbruiksprofielen'!$C$94</f>
        <v>3.2000000000000001E-2</v>
      </c>
      <c r="P118" s="50">
        <f>'Achtergrond verbruiksprofielen'!$C$94</f>
        <v>3.2000000000000001E-2</v>
      </c>
      <c r="Q118" s="50">
        <f>'Achtergrond verbruiksprofielen'!$C$94</f>
        <v>3.2000000000000001E-2</v>
      </c>
      <c r="R118" s="50">
        <f>'Achtergrond verbruiksprofielen'!$C$94</f>
        <v>3.2000000000000001E-2</v>
      </c>
      <c r="S118" s="50">
        <f>'Achtergrond verbruiksprofielen'!$C$94</f>
        <v>3.2000000000000001E-2</v>
      </c>
      <c r="T118" s="50">
        <f>'Achtergrond verbruiksprofielen'!$C$94</f>
        <v>3.2000000000000001E-2</v>
      </c>
      <c r="U118" s="50">
        <f>'Achtergrond verbruiksprofielen'!$C$94</f>
        <v>3.2000000000000001E-2</v>
      </c>
      <c r="V118" s="50">
        <f>'Achtergrond verbruiksprofielen'!$C$94</f>
        <v>3.2000000000000001E-2</v>
      </c>
      <c r="W118" s="50">
        <f>'Achtergrond verbruiksprofielen'!$C$94</f>
        <v>3.2000000000000001E-2</v>
      </c>
      <c r="X118" s="50">
        <f>'Achtergrond verbruiksprofielen'!$C$94</f>
        <v>3.2000000000000001E-2</v>
      </c>
      <c r="Y118" s="50">
        <f>'Achtergrond verbruiksprofielen'!$C$94</f>
        <v>3.2000000000000001E-2</v>
      </c>
      <c r="Z118" s="50">
        <f>'Achtergrond verbruiksprofielen'!$C$94</f>
        <v>3.2000000000000001E-2</v>
      </c>
      <c r="AA118" s="50">
        <f>'Achtergrond verbruiksprofielen'!$C$94</f>
        <v>3.2000000000000001E-2</v>
      </c>
      <c r="AB118" s="50">
        <f>'Achtergrond verbruiksprofielen'!$C$94</f>
        <v>3.2000000000000001E-2</v>
      </c>
      <c r="AC118" s="50">
        <f>'Achtergrond verbruiksprofielen'!$C$94</f>
        <v>3.2000000000000001E-2</v>
      </c>
      <c r="AD118" s="50">
        <f>'Achtergrond verbruiksprofielen'!$C$94</f>
        <v>3.2000000000000001E-2</v>
      </c>
      <c r="AE118" s="50">
        <f>'Achtergrond verbruiksprofielen'!$C$94</f>
        <v>3.2000000000000001E-2</v>
      </c>
      <c r="AF118" s="50">
        <f>'Achtergrond verbruiksprofielen'!$C$94</f>
        <v>3.2000000000000001E-2</v>
      </c>
      <c r="AG118" s="50">
        <f>'Achtergrond verbruiksprofielen'!$C$94</f>
        <v>3.2000000000000001E-2</v>
      </c>
      <c r="AH118" s="50">
        <f>'Achtergrond verbruiksprofielen'!$C$94</f>
        <v>3.2000000000000001E-2</v>
      </c>
      <c r="AI118" s="60"/>
      <c r="AJ118" s="60"/>
      <c r="AK118" s="60"/>
    </row>
    <row r="119" spans="1:37" ht="18" x14ac:dyDescent="0.4">
      <c r="A119" s="11" t="s">
        <v>178</v>
      </c>
      <c r="B119" s="11"/>
      <c r="C119" s="33"/>
      <c r="D119" s="223" t="s">
        <v>167</v>
      </c>
      <c r="E119" s="35">
        <v>0</v>
      </c>
      <c r="F119" s="35">
        <v>0</v>
      </c>
      <c r="G119" s="35">
        <v>0</v>
      </c>
      <c r="H119" s="35">
        <f>_xlfn.FORECAST.LINEAR(H$6,'Achtergrond verbruiksprofielen'!$C$10:$D$10,'Achtergrond verbruiksprofielen'!$C$8:$D$8)</f>
        <v>1.3999999999999346E-2</v>
      </c>
      <c r="I119" s="35">
        <f>_xlfn.FORECAST.LINEAR(I$6,'Achtergrond verbruiksprofielen'!$C$10:$D$10,'Achtergrond verbruiksprofielen'!$C$8:$D$8)</f>
        <v>1.7833333333332924E-2</v>
      </c>
      <c r="J119" s="35">
        <f>_xlfn.FORECAST.LINEAR(J$6,'Achtergrond verbruiksprofielen'!$C$10:$D$10,'Achtergrond verbruiksprofielen'!$C$8:$D$8)</f>
        <v>2.1666666666666501E-2</v>
      </c>
      <c r="K119" s="35">
        <f>_xlfn.FORECAST.LINEAR(K$6,'Achtergrond verbruiksprofielen'!$C$10:$D$10,'Achtergrond verbruiksprofielen'!$C$8:$D$8)</f>
        <v>2.5500000000000078E-2</v>
      </c>
      <c r="L119" s="35">
        <f>_xlfn.FORECAST.LINEAR(L$6,'Achtergrond verbruiksprofielen'!$C$10:$D$10,'Achtergrond verbruiksprofielen'!$C$8:$D$8)</f>
        <v>2.9333333333332767E-2</v>
      </c>
      <c r="M119" s="35">
        <f>_xlfn.FORECAST.LINEAR(M$6,'Achtergrond verbruiksprofielen'!$C$10:$D$10,'Achtergrond verbruiksprofielen'!$C$8:$D$8)</f>
        <v>3.3166666666666345E-2</v>
      </c>
      <c r="N119" s="35">
        <f>_xlfn.FORECAST.LINEAR(N$6,'Achtergrond verbruiksprofielen'!$C$10:$D$10,'Achtergrond verbruiksprofielen'!$C$8:$D$8)</f>
        <v>3.6999999999999922E-2</v>
      </c>
      <c r="O119" s="35">
        <f>_xlfn.FORECAST.LINEAR(O$6,'Achtergrond verbruiksprofielen'!$C$10:$D$10,'Achtergrond verbruiksprofielen'!$C$8:$D$8)</f>
        <v>4.0833333333333499E-2</v>
      </c>
      <c r="P119" s="35">
        <f>_xlfn.FORECAST.LINEAR(P$6,'Achtergrond verbruiksprofielen'!$C$10:$D$10,'Achtergrond verbruiksprofielen'!$C$8:$D$8)</f>
        <v>4.4666666666666188E-2</v>
      </c>
      <c r="Q119" s="35">
        <f>_xlfn.FORECAST.LINEAR(Q$6,'Achtergrond verbruiksprofielen'!$C$10:$D$10,'Achtergrond verbruiksprofielen'!$C$8:$D$8)</f>
        <v>4.8499999999999766E-2</v>
      </c>
      <c r="R119" s="35">
        <f>_xlfn.FORECAST.LINEAR(R$6,'Achtergrond verbruiksprofielen'!$C$10:$D$10,'Achtergrond verbruiksprofielen'!$C$8:$D$8)</f>
        <v>5.2333333333333343E-2</v>
      </c>
      <c r="S119" s="35">
        <f>_xlfn.FORECAST.LINEAR(S$6,'Achtergrond verbruiksprofielen'!$C$10:$D$10,'Achtergrond verbruiksprofielen'!$C$8:$D$8)</f>
        <v>5.6166666666666032E-2</v>
      </c>
      <c r="T119" s="35">
        <f>_xlfn.FORECAST.LINEAR(T$6,'Achtergrond verbruiksprofielen'!$C$10:$D$10,'Achtergrond verbruiksprofielen'!$C$8:$D$8)</f>
        <v>5.9999999999999609E-2</v>
      </c>
      <c r="U119" s="35">
        <f>_xlfn.FORECAST.LINEAR(U$6,'Achtergrond verbruiksprofielen'!$C$10:$D$10,'Achtergrond verbruiksprofielen'!$C$8:$D$8)</f>
        <v>6.3833333333333186E-2</v>
      </c>
      <c r="V119" s="35">
        <f>_xlfn.FORECAST.LINEAR(V$6,'Achtergrond verbruiksprofielen'!$C$10:$D$10,'Achtergrond verbruiksprofielen'!$C$8:$D$8)</f>
        <v>6.7666666666666764E-2</v>
      </c>
      <c r="W119" s="35">
        <f>_xlfn.FORECAST.LINEAR(W$6,'Achtergrond verbruiksprofielen'!$C$10:$D$10,'Achtergrond verbruiksprofielen'!$C$8:$D$8)</f>
        <v>7.1499999999999453E-2</v>
      </c>
      <c r="X119" s="35">
        <f>_xlfn.FORECAST.LINEAR(X$6,'Achtergrond verbruiksprofielen'!$C$10:$D$10,'Achtergrond verbruiksprofielen'!$C$8:$D$8)</f>
        <v>7.533333333333303E-2</v>
      </c>
      <c r="Y119" s="35">
        <f>_xlfn.FORECAST.LINEAR(Y$6,'Achtergrond verbruiksprofielen'!$C$10:$D$10,'Achtergrond verbruiksprofielen'!$C$8:$D$8)</f>
        <v>7.9166666666666607E-2</v>
      </c>
      <c r="Z119" s="35">
        <f>_xlfn.FORECAST.LINEAR(Z$6,'Achtergrond verbruiksprofielen'!$C$10:$D$10,'Achtergrond verbruiksprofielen'!$C$8:$D$8)</f>
        <v>8.3000000000000185E-2</v>
      </c>
      <c r="AA119" s="35">
        <f>_xlfn.FORECAST.LINEAR(AA$6,'Achtergrond verbruiksprofielen'!$C$10:$D$10,'Achtergrond verbruiksprofielen'!$C$8:$D$8)</f>
        <v>8.6833333333332874E-2</v>
      </c>
      <c r="AB119" s="35">
        <f>_xlfn.FORECAST.LINEAR(AB$6,'Achtergrond verbruiksprofielen'!$C$10:$D$10,'Achtergrond verbruiksprofielen'!$C$8:$D$8)</f>
        <v>9.0666666666666451E-2</v>
      </c>
      <c r="AC119" s="35">
        <f>_xlfn.FORECAST.LINEAR(AC$6,'Achtergrond verbruiksprofielen'!$C$10:$D$10,'Achtergrond verbruiksprofielen'!$C$8:$D$8)</f>
        <v>9.4500000000000028E-2</v>
      </c>
      <c r="AD119" s="35">
        <f>'Achtergrond verbruiksprofielen'!$D$10</f>
        <v>0.06</v>
      </c>
      <c r="AE119" s="35">
        <f>'Achtergrond verbruiksprofielen'!$D$10</f>
        <v>0.06</v>
      </c>
      <c r="AF119" s="35">
        <f>'Achtergrond verbruiksprofielen'!$D$10</f>
        <v>0.06</v>
      </c>
      <c r="AG119" s="35">
        <f>'Achtergrond verbruiksprofielen'!$D$10</f>
        <v>0.06</v>
      </c>
      <c r="AH119" s="35">
        <f>'Achtergrond verbruiksprofielen'!$D$10</f>
        <v>0.06</v>
      </c>
      <c r="AI119" s="60"/>
      <c r="AJ119" s="60"/>
      <c r="AK119" s="60"/>
    </row>
    <row r="120" spans="1:37" ht="18" x14ac:dyDescent="0.3">
      <c r="A120" s="11" t="s">
        <v>86</v>
      </c>
      <c r="B120" s="11"/>
      <c r="C120" s="33"/>
      <c r="D120" s="33" t="s">
        <v>62</v>
      </c>
      <c r="E120" s="35">
        <f>'Achtergrond verbruiksprofielen'!$C$39</f>
        <v>0.01</v>
      </c>
      <c r="F120" s="35">
        <f>'Achtergrond verbruiksprofielen'!$C$39+(F116-'Achtergrond verbruiksprofielen'!$C$37)*('Achtergrond verbruiksprofielen'!$D$39-'Achtergrond verbruiksprofielen'!$C$39)/('Achtergrond verbruiksprofielen'!$D$37-'Achtergrond verbruiksprofielen'!$C$37)</f>
        <v>0.01</v>
      </c>
      <c r="G120" s="35">
        <f>'Achtergrond verbruiksprofielen'!$C$39+(G116-'Achtergrond verbruiksprofielen'!$C$37)*('Achtergrond verbruiksprofielen'!$D$39-'Achtergrond verbruiksprofielen'!$C$39)/('Achtergrond verbruiksprofielen'!$D$37-'Achtergrond verbruiksprofielen'!$C$37)</f>
        <v>0.01</v>
      </c>
      <c r="H120" s="35">
        <f>'Achtergrond verbruiksprofielen'!$C$39+(H116-'Achtergrond verbruiksprofielen'!$C$37)*('Achtergrond verbruiksprofielen'!$D$39-'Achtergrond verbruiksprofielen'!$C$39)/('Achtergrond verbruiksprofielen'!$D$37-'Achtergrond verbruiksprofielen'!$C$37)</f>
        <v>0.01</v>
      </c>
      <c r="I120" s="35">
        <f>'Achtergrond verbruiksprofielen'!$C$39+(I116-'Achtergrond verbruiksprofielen'!$C$37)*('Achtergrond verbruiksprofielen'!$D$39-'Achtergrond verbruiksprofielen'!$C$39)/('Achtergrond verbruiksprofielen'!$D$37-'Achtergrond verbruiksprofielen'!$C$37)</f>
        <v>0.01</v>
      </c>
      <c r="J120" s="35">
        <f>'Achtergrond verbruiksprofielen'!$D$39</f>
        <v>0.01</v>
      </c>
      <c r="K120" s="35">
        <f>'Achtergrond verbruiksprofielen'!$D$39+(K116-'Achtergrond verbruiksprofielen'!$D$37)*('Achtergrond verbruiksprofielen'!$E$39-'Achtergrond verbruiksprofielen'!$D$39)/('Achtergrond verbruiksprofielen'!$E$37-'Achtergrond verbruiksprofielen'!$D$37)</f>
        <v>0.01</v>
      </c>
      <c r="L120" s="35">
        <f>'Achtergrond verbruiksprofielen'!$D$39+(L116-'Achtergrond verbruiksprofielen'!$D$37)*('Achtergrond verbruiksprofielen'!$E$39-'Achtergrond verbruiksprofielen'!$D$39)/('Achtergrond verbruiksprofielen'!$E$37-'Achtergrond verbruiksprofielen'!$D$37)</f>
        <v>0.01</v>
      </c>
      <c r="M120" s="35">
        <f>'Achtergrond verbruiksprofielen'!$D$39+(M116-'Achtergrond verbruiksprofielen'!$D$37)*('Achtergrond verbruiksprofielen'!$E$39-'Achtergrond verbruiksprofielen'!$D$39)/('Achtergrond verbruiksprofielen'!$E$37-'Achtergrond verbruiksprofielen'!$D$37)</f>
        <v>0.01</v>
      </c>
      <c r="N120" s="35">
        <f>'Achtergrond verbruiksprofielen'!$D$39+(N116-'Achtergrond verbruiksprofielen'!$D$37)*('Achtergrond verbruiksprofielen'!$E$39-'Achtergrond verbruiksprofielen'!$D$39)/('Achtergrond verbruiksprofielen'!$E$37-'Achtergrond verbruiksprofielen'!$D$37)</f>
        <v>0.01</v>
      </c>
      <c r="O120" s="35">
        <f>'Achtergrond verbruiksprofielen'!$E$39</f>
        <v>0.01</v>
      </c>
      <c r="P120" s="35">
        <f>'Achtergrond verbruiksprofielen'!$E$39+(P116-'Achtergrond verbruiksprofielen'!$E$37)*('Achtergrond verbruiksprofielen'!$F$39-'Achtergrond verbruiksprofielen'!$E$39)/('Achtergrond verbruiksprofielen'!$F$37-'Achtergrond verbruiksprofielen'!$E$37)</f>
        <v>0.01</v>
      </c>
      <c r="Q120" s="35">
        <f>'Achtergrond verbruiksprofielen'!$E$39+(Q116-'Achtergrond verbruiksprofielen'!$E$37)*('Achtergrond verbruiksprofielen'!$F$39-'Achtergrond verbruiksprofielen'!$E$39)/('Achtergrond verbruiksprofielen'!$F$37-'Achtergrond verbruiksprofielen'!$E$37)</f>
        <v>0.01</v>
      </c>
      <c r="R120" s="35">
        <f>'Achtergrond verbruiksprofielen'!$E$39+(R116-'Achtergrond verbruiksprofielen'!$E$37)*('Achtergrond verbruiksprofielen'!$F$39-'Achtergrond verbruiksprofielen'!$E$39)/('Achtergrond verbruiksprofielen'!$F$37-'Achtergrond verbruiksprofielen'!$E$37)</f>
        <v>0.01</v>
      </c>
      <c r="S120" s="35">
        <f>'Achtergrond verbruiksprofielen'!$E$39+(S116-'Achtergrond verbruiksprofielen'!$E$37)*('Achtergrond verbruiksprofielen'!$F$39-'Achtergrond verbruiksprofielen'!$E$39)/('Achtergrond verbruiksprofielen'!$F$37-'Achtergrond verbruiksprofielen'!$E$37)</f>
        <v>0.01</v>
      </c>
      <c r="T120" s="35">
        <f>'Achtergrond verbruiksprofielen'!$F$39</f>
        <v>0.01</v>
      </c>
      <c r="U120" s="35">
        <f>'Achtergrond verbruiksprofielen'!$F$39+(U116-'Achtergrond verbruiksprofielen'!$F$37)*('Achtergrond verbruiksprofielen'!$G$39-'Achtergrond verbruiksprofielen'!$F$39)/('Achtergrond verbruiksprofielen'!$G$37-'Achtergrond verbruiksprofielen'!$F$37)</f>
        <v>0.01</v>
      </c>
      <c r="V120" s="35">
        <f>'Achtergrond verbruiksprofielen'!$F$39+(V116-'Achtergrond verbruiksprofielen'!$F$37)*('Achtergrond verbruiksprofielen'!$G$39-'Achtergrond verbruiksprofielen'!$F$39)/('Achtergrond verbruiksprofielen'!$G$37-'Achtergrond verbruiksprofielen'!$F$37)</f>
        <v>0.01</v>
      </c>
      <c r="W120" s="35">
        <f>'Achtergrond verbruiksprofielen'!$F$39+(W116-'Achtergrond verbruiksprofielen'!$F$37)*('Achtergrond verbruiksprofielen'!$G$39-'Achtergrond verbruiksprofielen'!$F$39)/('Achtergrond verbruiksprofielen'!$G$37-'Achtergrond verbruiksprofielen'!$F$37)</f>
        <v>0.01</v>
      </c>
      <c r="X120" s="35">
        <f>'Achtergrond verbruiksprofielen'!$F$39+(X116-'Achtergrond verbruiksprofielen'!$F$37)*('Achtergrond verbruiksprofielen'!$G$39-'Achtergrond verbruiksprofielen'!$F$39)/('Achtergrond verbruiksprofielen'!$G$37-'Achtergrond verbruiksprofielen'!$F$37)</f>
        <v>0.01</v>
      </c>
      <c r="Y120" s="35">
        <f>'Achtergrond verbruiksprofielen'!$G$39</f>
        <v>0.01</v>
      </c>
      <c r="Z120" s="35">
        <f>'Achtergrond verbruiksprofielen'!$G$39+(Z116-'Achtergrond verbruiksprofielen'!$G$37)*('Achtergrond verbruiksprofielen'!$H$39-'Achtergrond verbruiksprofielen'!$G$39)/('Achtergrond verbruiksprofielen'!$H$37-'Achtergrond verbruiksprofielen'!$G$37)</f>
        <v>0.01</v>
      </c>
      <c r="AA120" s="35">
        <f>'Achtergrond verbruiksprofielen'!$G$39+(AA116-'Achtergrond verbruiksprofielen'!$G$37)*('Achtergrond verbruiksprofielen'!$H$39-'Achtergrond verbruiksprofielen'!$G$39)/('Achtergrond verbruiksprofielen'!$H$37-'Achtergrond verbruiksprofielen'!$G$37)</f>
        <v>0.01</v>
      </c>
      <c r="AB120" s="35">
        <f>'Achtergrond verbruiksprofielen'!$G$39+(AB116-'Achtergrond verbruiksprofielen'!$G$37)*('Achtergrond verbruiksprofielen'!$H$39-'Achtergrond verbruiksprofielen'!$G$39)/('Achtergrond verbruiksprofielen'!$H$37-'Achtergrond verbruiksprofielen'!$G$37)</f>
        <v>0.01</v>
      </c>
      <c r="AC120" s="35">
        <f>'Achtergrond verbruiksprofielen'!$G$39+(AC116-'Achtergrond verbruiksprofielen'!$G$37)*('Achtergrond verbruiksprofielen'!$H$39-'Achtergrond verbruiksprofielen'!$G$39)/('Achtergrond verbruiksprofielen'!$H$37-'Achtergrond verbruiksprofielen'!$G$37)</f>
        <v>0.01</v>
      </c>
      <c r="AD120" s="35">
        <f>'Achtergrond verbruiksprofielen'!$H$39</f>
        <v>0.01</v>
      </c>
      <c r="AE120" s="35">
        <f>'Achtergrond verbruiksprofielen'!$H$39</f>
        <v>0.01</v>
      </c>
      <c r="AF120" s="35">
        <f>'Achtergrond verbruiksprofielen'!$H$39</f>
        <v>0.01</v>
      </c>
      <c r="AG120" s="35">
        <f>'Achtergrond verbruiksprofielen'!$H$39</f>
        <v>0.01</v>
      </c>
      <c r="AH120" s="35">
        <f>'Achtergrond verbruiksprofielen'!$H$39</f>
        <v>0.01</v>
      </c>
      <c r="AI120" s="60"/>
      <c r="AJ120" s="60"/>
      <c r="AK120" s="60"/>
    </row>
    <row r="121" spans="1:37" ht="15.6" x14ac:dyDescent="0.3">
      <c r="A121" s="11" t="s">
        <v>87</v>
      </c>
      <c r="B121" s="11"/>
      <c r="C121" s="33"/>
      <c r="D121" s="33" t="s">
        <v>88</v>
      </c>
      <c r="E121" s="51">
        <f>'Achtergrond verbruiksprofielen'!$C$40</f>
        <v>1185</v>
      </c>
      <c r="F121" s="51">
        <f>'Achtergrond verbruiksprofielen'!$C$40+(F116-'Achtergrond verbruiksprofielen'!$C$37)*('Achtergrond verbruiksprofielen'!$D$40-'Achtergrond verbruiksprofielen'!$C$40)/('Achtergrond verbruiksprofielen'!$D$37-'Achtergrond verbruiksprofielen'!$C$37)</f>
        <v>1232.9085773519998</v>
      </c>
      <c r="G121" s="51">
        <f>'Achtergrond verbruiksprofielen'!$C$40+(G116-'Achtergrond verbruiksprofielen'!$C$37)*('Achtergrond verbruiksprofielen'!$D$40-'Achtergrond verbruiksprofielen'!$C$40)/('Achtergrond verbruiksprofielen'!$D$37-'Achtergrond verbruiksprofielen'!$C$37)</f>
        <v>1280.8171547039997</v>
      </c>
      <c r="H121" s="51">
        <f>'Achtergrond verbruiksprofielen'!$C$40+(H116-'Achtergrond verbruiksprofielen'!$C$37)*('Achtergrond verbruiksprofielen'!$D$40-'Achtergrond verbruiksprofielen'!$C$40)/('Achtergrond verbruiksprofielen'!$D$37-'Achtergrond verbruiksprofielen'!$C$37)</f>
        <v>1328.7257320559997</v>
      </c>
      <c r="I121" s="51">
        <f>'Achtergrond verbruiksprofielen'!$C$40+(I116-'Achtergrond verbruiksprofielen'!$C$37)*('Achtergrond verbruiksprofielen'!$D$40-'Achtergrond verbruiksprofielen'!$C$40)/('Achtergrond verbruiksprofielen'!$D$37-'Achtergrond verbruiksprofielen'!$C$37)</f>
        <v>1376.6343094079996</v>
      </c>
      <c r="J121" s="51">
        <f>'Achtergrond verbruiksprofielen'!D40</f>
        <v>1424.5428867599994</v>
      </c>
      <c r="K121" s="51">
        <f>'Achtergrond verbruiksprofielen'!$D$40+(K116-'Achtergrond verbruiksprofielen'!$D$37)*('Achtergrond verbruiksprofielen'!$E$40-'Achtergrond verbruiksprofielen'!$D$40)/('Achtergrond verbruiksprofielen'!$E$37-'Achtergrond verbruiksprofielen'!$D$37)</f>
        <v>1519.6573233839993</v>
      </c>
      <c r="L121" s="51">
        <f>'Achtergrond verbruiksprofielen'!$D$40+(L116-'Achtergrond verbruiksprofielen'!$D$37)*('Achtergrond verbruiksprofielen'!$E$40-'Achtergrond verbruiksprofielen'!$D$40)/('Achtergrond verbruiksprofielen'!$E$37-'Achtergrond verbruiksprofielen'!$D$37)</f>
        <v>1614.7717600079993</v>
      </c>
      <c r="M121" s="51">
        <f>'Achtergrond verbruiksprofielen'!$D$40+(M116-'Achtergrond verbruiksprofielen'!$D$37)*('Achtergrond verbruiksprofielen'!$E$40-'Achtergrond verbruiksprofielen'!$D$40)/('Achtergrond verbruiksprofielen'!$E$37-'Achtergrond verbruiksprofielen'!$D$37)</f>
        <v>1709.8861966319992</v>
      </c>
      <c r="N121" s="51">
        <f>'Achtergrond verbruiksprofielen'!$D$40+(N116-'Achtergrond verbruiksprofielen'!$D$37)*('Achtergrond verbruiksprofielen'!$E$40-'Achtergrond verbruiksprofielen'!$D$40)/('Achtergrond verbruiksprofielen'!$E$37-'Achtergrond verbruiksprofielen'!$D$37)</f>
        <v>1805.0006332559992</v>
      </c>
      <c r="O121" s="51">
        <f>'Achtergrond verbruiksprofielen'!$E$40</f>
        <v>1900.1150698799991</v>
      </c>
      <c r="P121" s="51">
        <f>'Achtergrond verbruiksprofielen'!$E$40+(P116-'Achtergrond verbruiksprofielen'!$E$37)*('Achtergrond verbruiksprofielen'!$F$40-'Achtergrond verbruiksprofielen'!$E$40)/('Achtergrond verbruiksprofielen'!$F$37-'Achtergrond verbruiksprofielen'!$E$37)</f>
        <v>2007.1235208959993</v>
      </c>
      <c r="Q121" s="51">
        <f>'Achtergrond verbruiksprofielen'!$E$40+(Q116-'Achtergrond verbruiksprofielen'!$E$37)*('Achtergrond verbruiksprofielen'!$F$40-'Achtergrond verbruiksprofielen'!$E$40)/('Achtergrond verbruiksprofielen'!$F$37-'Achtergrond verbruiksprofielen'!$E$37)</f>
        <v>2114.1319719119992</v>
      </c>
      <c r="R121" s="51">
        <f>'Achtergrond verbruiksprofielen'!$E$40+(R116-'Achtergrond verbruiksprofielen'!$E$37)*('Achtergrond verbruiksprofielen'!$F$40-'Achtergrond verbruiksprofielen'!$E$40)/('Achtergrond verbruiksprofielen'!$F$37-'Achtergrond verbruiksprofielen'!$E$37)</f>
        <v>2221.1404229279997</v>
      </c>
      <c r="S121" s="51">
        <f>'Achtergrond verbruiksprofielen'!$E$40+(S116-'Achtergrond verbruiksprofielen'!$E$37)*('Achtergrond verbruiksprofielen'!$F$40-'Achtergrond verbruiksprofielen'!$E$40)/('Achtergrond verbruiksprofielen'!$F$37-'Achtergrond verbruiksprofielen'!$E$37)</f>
        <v>2328.1488739440001</v>
      </c>
      <c r="T121" s="51">
        <f>'Achtergrond verbruiksprofielen'!$F$40</f>
        <v>2435.1573249600001</v>
      </c>
      <c r="U121" s="51">
        <f>'Achtergrond verbruiksprofielen'!$F$40+(U116-'Achtergrond verbruiksprofielen'!$F$37)*('Achtergrond verbruiksprofielen'!$G$40-'Achtergrond verbruiksprofielen'!$F$40)/('Achtergrond verbruiksprofielen'!$G$37-'Achtergrond verbruiksprofielen'!$F$37)</f>
        <v>2706.6712666320009</v>
      </c>
      <c r="V121" s="51">
        <f>'Achtergrond verbruiksprofielen'!$F$40+(V116-'Achtergrond verbruiksprofielen'!$F$37)*('Achtergrond verbruiksprofielen'!$G$40-'Achtergrond verbruiksprofielen'!$F$40)/('Achtergrond verbruiksprofielen'!$G$37-'Achtergrond verbruiksprofielen'!$F$37)</f>
        <v>2978.1852083040012</v>
      </c>
      <c r="W121" s="51">
        <f>'Achtergrond verbruiksprofielen'!$F$40+(W116-'Achtergrond verbruiksprofielen'!$F$37)*('Achtergrond verbruiksprofielen'!$G$40-'Achtergrond verbruiksprofielen'!$F$40)/('Achtergrond verbruiksprofielen'!$G$37-'Achtergrond verbruiksprofielen'!$F$37)</f>
        <v>3249.699149976002</v>
      </c>
      <c r="X121" s="51">
        <f>'Achtergrond verbruiksprofielen'!$F$40+(X116-'Achtergrond verbruiksprofielen'!$F$37)*('Achtergrond verbruiksprofielen'!$G$40-'Achtergrond verbruiksprofielen'!$F$40)/('Achtergrond verbruiksprofielen'!$G$37-'Achtergrond verbruiksprofielen'!$F$37)</f>
        <v>3521.2130916480028</v>
      </c>
      <c r="Y121" s="35">
        <f>'Achtergrond verbruiksprofielen'!$G$40</f>
        <v>3792.7270333200031</v>
      </c>
      <c r="Z121" s="51">
        <f>'Achtergrond verbruiksprofielen'!$G$40+(Z116-'Achtergrond verbruiksprofielen'!$G$37)*('Achtergrond verbruiksprofielen'!$H$40-'Achtergrond verbruiksprofielen'!$G$40)/('Achtergrond verbruiksprofielen'!$H$37-'Achtergrond verbruiksprofielen'!$G$37)</f>
        <v>3931.5405214560028</v>
      </c>
      <c r="AA121" s="51">
        <f>'Achtergrond verbruiksprofielen'!$G$40+(AA116-'Achtergrond verbruiksprofielen'!$G$37)*('Achtergrond verbruiksprofielen'!$H$40-'Achtergrond verbruiksprofielen'!$G$40)/('Achtergrond verbruiksprofielen'!$H$37-'Achtergrond verbruiksprofielen'!$G$37)</f>
        <v>4070.3540095920025</v>
      </c>
      <c r="AB121" s="51">
        <f>'Achtergrond verbruiksprofielen'!$G$40+(AB116-'Achtergrond verbruiksprofielen'!$G$37)*('Achtergrond verbruiksprofielen'!$H$40-'Achtergrond verbruiksprofielen'!$G$40)/('Achtergrond verbruiksprofielen'!$H$37-'Achtergrond verbruiksprofielen'!$G$37)</f>
        <v>4209.1674977280018</v>
      </c>
      <c r="AC121" s="51">
        <f>'Achtergrond verbruiksprofielen'!$G$40+(AC116-'Achtergrond verbruiksprofielen'!$G$37)*('Achtergrond verbruiksprofielen'!$H$40-'Achtergrond verbruiksprofielen'!$G$40)/('Achtergrond verbruiksprofielen'!$H$37-'Achtergrond verbruiksprofielen'!$G$37)</f>
        <v>4347.9809858640019</v>
      </c>
      <c r="AD121" s="51">
        <f>'Achtergrond verbruiksprofielen'!$H$40</f>
        <v>4486.7944740000012</v>
      </c>
      <c r="AE121" s="51">
        <f>'Achtergrond verbruiksprofielen'!$H$40</f>
        <v>4486.7944740000012</v>
      </c>
      <c r="AF121" s="51">
        <f>'Achtergrond verbruiksprofielen'!$H$40</f>
        <v>4486.7944740000012</v>
      </c>
      <c r="AG121" s="51">
        <f>'Achtergrond verbruiksprofielen'!$H$40</f>
        <v>4486.7944740000012</v>
      </c>
      <c r="AH121" s="51">
        <f>'Achtergrond verbruiksprofielen'!$H$40</f>
        <v>4486.7944740000012</v>
      </c>
      <c r="AI121" s="60"/>
      <c r="AJ121" s="60"/>
      <c r="AK121" s="60"/>
    </row>
    <row r="122" spans="1:37" ht="15.6" x14ac:dyDescent="0.3">
      <c r="A122" s="11"/>
      <c r="B122" s="11"/>
      <c r="C122" s="11"/>
      <c r="D122" s="11"/>
      <c r="E122" s="341"/>
      <c r="F122" s="341"/>
      <c r="G122" s="341"/>
      <c r="H122" s="341"/>
      <c r="I122" s="341"/>
      <c r="J122" s="341"/>
      <c r="K122" s="341"/>
      <c r="L122" s="341"/>
      <c r="M122" s="341"/>
      <c r="N122" s="341"/>
      <c r="O122" s="341"/>
      <c r="P122" s="341"/>
      <c r="Q122" s="341"/>
      <c r="R122" s="341"/>
      <c r="S122" s="341"/>
      <c r="T122" s="341"/>
      <c r="U122" s="341"/>
      <c r="V122" s="341"/>
      <c r="W122" s="341"/>
      <c r="X122" s="341"/>
      <c r="Y122" s="341"/>
      <c r="Z122" s="341"/>
      <c r="AA122" s="341"/>
      <c r="AB122" s="341"/>
      <c r="AC122" s="341"/>
      <c r="AD122" s="341"/>
      <c r="AE122" s="341"/>
      <c r="AF122" s="341"/>
      <c r="AG122" s="341"/>
      <c r="AH122" s="341"/>
      <c r="AI122" s="60"/>
      <c r="AJ122" s="60"/>
      <c r="AK122" s="60"/>
    </row>
    <row r="123" spans="1:37" ht="15.6" x14ac:dyDescent="0.3">
      <c r="A123" s="66" t="s">
        <v>89</v>
      </c>
      <c r="B123" s="11"/>
      <c r="C123" s="11"/>
      <c r="D123" s="58" t="s">
        <v>81</v>
      </c>
      <c r="E123" s="58"/>
      <c r="F123" s="58"/>
      <c r="G123" s="58"/>
      <c r="H123" s="58"/>
      <c r="I123" s="58"/>
      <c r="J123" s="58"/>
      <c r="K123" s="58"/>
      <c r="L123" s="58"/>
      <c r="M123" s="58"/>
      <c r="N123" s="58"/>
      <c r="O123" s="58"/>
      <c r="P123" s="58"/>
      <c r="Q123" s="58"/>
      <c r="R123" s="58"/>
      <c r="S123" s="58"/>
      <c r="T123" s="58"/>
      <c r="U123" s="58"/>
      <c r="V123" s="58"/>
      <c r="W123" s="58"/>
      <c r="X123" s="58"/>
      <c r="Y123" s="58"/>
      <c r="Z123" s="58"/>
      <c r="AA123" s="58"/>
      <c r="AB123" s="58"/>
      <c r="AC123" s="58"/>
      <c r="AD123" s="58"/>
      <c r="AE123" s="58"/>
      <c r="AF123" s="58"/>
      <c r="AG123" s="58"/>
      <c r="AH123" s="58"/>
      <c r="AI123" s="60"/>
      <c r="AJ123" s="60"/>
      <c r="AK123" s="60"/>
    </row>
    <row r="124" spans="1:37" ht="18" x14ac:dyDescent="0.3">
      <c r="A124" s="11" t="s">
        <v>82</v>
      </c>
      <c r="B124" s="11"/>
      <c r="C124" s="11"/>
      <c r="D124" s="33" t="s">
        <v>90</v>
      </c>
      <c r="E124" s="50">
        <f>'Achtergrond verbruiksprofielen'!$C$50</f>
        <v>2.4E-2</v>
      </c>
      <c r="F124" s="50">
        <f>'Achtergrond verbruiksprofielen'!$C$50</f>
        <v>2.4E-2</v>
      </c>
      <c r="G124" s="50">
        <f>'Achtergrond verbruiksprofielen'!$C$50</f>
        <v>2.4E-2</v>
      </c>
      <c r="H124" s="50">
        <f>'Achtergrond verbruiksprofielen'!$C$50</f>
        <v>2.4E-2</v>
      </c>
      <c r="I124" s="50">
        <f>'Achtergrond verbruiksprofielen'!$C$50</f>
        <v>2.4E-2</v>
      </c>
      <c r="J124" s="50">
        <f>'Achtergrond verbruiksprofielen'!$C$50</f>
        <v>2.4E-2</v>
      </c>
      <c r="K124" s="50">
        <f>'Achtergrond verbruiksprofielen'!$C$50</f>
        <v>2.4E-2</v>
      </c>
      <c r="L124" s="50">
        <f>'Achtergrond verbruiksprofielen'!$C$50</f>
        <v>2.4E-2</v>
      </c>
      <c r="M124" s="50">
        <f>'Achtergrond verbruiksprofielen'!$C$50</f>
        <v>2.4E-2</v>
      </c>
      <c r="N124" s="50">
        <f>'Achtergrond verbruiksprofielen'!$C$50</f>
        <v>2.4E-2</v>
      </c>
      <c r="O124" s="50">
        <f>'Achtergrond verbruiksprofielen'!$C$50</f>
        <v>2.4E-2</v>
      </c>
      <c r="P124" s="50">
        <f>'Achtergrond verbruiksprofielen'!$C$50</f>
        <v>2.4E-2</v>
      </c>
      <c r="Q124" s="50">
        <f>'Achtergrond verbruiksprofielen'!$C$50</f>
        <v>2.4E-2</v>
      </c>
      <c r="R124" s="50">
        <f>'Achtergrond verbruiksprofielen'!$C$50</f>
        <v>2.4E-2</v>
      </c>
      <c r="S124" s="50">
        <f>'Achtergrond verbruiksprofielen'!$C$50</f>
        <v>2.4E-2</v>
      </c>
      <c r="T124" s="50">
        <f>'Achtergrond verbruiksprofielen'!$C$50</f>
        <v>2.4E-2</v>
      </c>
      <c r="U124" s="50">
        <f>'Achtergrond verbruiksprofielen'!$C$50</f>
        <v>2.4E-2</v>
      </c>
      <c r="V124" s="50">
        <f>'Achtergrond verbruiksprofielen'!$C$50</f>
        <v>2.4E-2</v>
      </c>
      <c r="W124" s="50">
        <f>'Achtergrond verbruiksprofielen'!$C$50</f>
        <v>2.4E-2</v>
      </c>
      <c r="X124" s="50">
        <f>'Achtergrond verbruiksprofielen'!$C$50</f>
        <v>2.4E-2</v>
      </c>
      <c r="Y124" s="50">
        <f>'Achtergrond verbruiksprofielen'!$C$50</f>
        <v>2.4E-2</v>
      </c>
      <c r="Z124" s="50">
        <f>'Achtergrond verbruiksprofielen'!$C$50</f>
        <v>2.4E-2</v>
      </c>
      <c r="AA124" s="50">
        <f>'Achtergrond verbruiksprofielen'!$C$50</f>
        <v>2.4E-2</v>
      </c>
      <c r="AB124" s="50">
        <f>'Achtergrond verbruiksprofielen'!$C$50</f>
        <v>2.4E-2</v>
      </c>
      <c r="AC124" s="50">
        <f>'Achtergrond verbruiksprofielen'!$C$50</f>
        <v>2.4E-2</v>
      </c>
      <c r="AD124" s="50">
        <f>'Achtergrond verbruiksprofielen'!$C$50</f>
        <v>2.4E-2</v>
      </c>
      <c r="AE124" s="50">
        <f>'Achtergrond verbruiksprofielen'!$C$50</f>
        <v>2.4E-2</v>
      </c>
      <c r="AF124" s="50">
        <f>'Achtergrond verbruiksprofielen'!$C$50</f>
        <v>2.4E-2</v>
      </c>
      <c r="AG124" s="50">
        <f>'Achtergrond verbruiksprofielen'!$C$50</f>
        <v>2.4E-2</v>
      </c>
      <c r="AH124" s="50">
        <f>'Achtergrond verbruiksprofielen'!$C$50</f>
        <v>2.4E-2</v>
      </c>
      <c r="AI124" s="60"/>
      <c r="AJ124" s="60"/>
      <c r="AK124" s="60"/>
    </row>
    <row r="125" spans="1:37" ht="18" x14ac:dyDescent="0.4">
      <c r="A125" s="11" t="s">
        <v>178</v>
      </c>
      <c r="B125" s="11"/>
      <c r="C125" s="11"/>
      <c r="D125" s="223" t="s">
        <v>167</v>
      </c>
      <c r="E125" s="35">
        <v>0</v>
      </c>
      <c r="F125" s="35">
        <v>0</v>
      </c>
      <c r="G125" s="35">
        <v>0</v>
      </c>
      <c r="H125" s="35">
        <f>_xlfn.FORECAST.LINEAR(H$6,'Achtergrond verbruiksprofielen'!$C$54:$D$54,'Achtergrond verbruiksprofielen'!$C$52:$D$52)</f>
        <v>8.0000000000008953E-3</v>
      </c>
      <c r="I125" s="35">
        <f>_xlfn.FORECAST.LINEAR(I$6,'Achtergrond verbruiksprofielen'!$C$54:$D$54,'Achtergrond verbruiksprofielen'!$C$52:$D$52)</f>
        <v>1.3999999999999346E-2</v>
      </c>
      <c r="J125" s="35">
        <f>'Achtergrond verbruiksprofielen'!$D$54</f>
        <v>0.02</v>
      </c>
      <c r="K125" s="35">
        <f>_xlfn.FORECAST.LINEAR(K$6,'Achtergrond verbruiksprofielen'!$D$54:$E$54,'Achtergrond verbruiksprofielen'!$D$52:$E$52)</f>
        <v>2.3999999999999133E-2</v>
      </c>
      <c r="L125" s="35">
        <f>_xlfn.FORECAST.LINEAR(L$6,'Achtergrond verbruiksprofielen'!$D$54:$E$54,'Achtergrond verbruiksprofielen'!$D$52:$E$52)</f>
        <v>2.7999999999998693E-2</v>
      </c>
      <c r="M125" s="35">
        <f>_xlfn.FORECAST.LINEAR(M$6,'Achtergrond verbruiksprofielen'!$D$54:$E$54,'Achtergrond verbruiksprofielen'!$D$52:$E$52)</f>
        <v>3.1999999999998252E-2</v>
      </c>
      <c r="N125" s="35">
        <f>_xlfn.FORECAST.LINEAR(N$6,'Achtergrond verbruiksprofielen'!$D$54:$E$54,'Achtergrond verbruiksprofielen'!$D$52:$E$52)</f>
        <v>3.5999999999999588E-2</v>
      </c>
      <c r="O125" s="35">
        <f>'Achtergrond verbruiksprofielen'!$E$54</f>
        <v>0.04</v>
      </c>
      <c r="P125" s="35">
        <f>_xlfn.FORECAST.LINEAR(P$6,'Achtergrond verbruiksprofielen'!$E$54:$F$54,'Achtergrond verbruiksprofielen'!$E$52:$F$52)</f>
        <v>4.4000000000000483E-2</v>
      </c>
      <c r="Q125" s="35">
        <f>_xlfn.FORECAST.LINEAR(Q$6,'Achtergrond verbruiksprofielen'!$E$54:$F$54,'Achtergrond verbruiksprofielen'!$E$52:$F$52)</f>
        <v>4.8000000000000043E-2</v>
      </c>
      <c r="R125" s="35">
        <f>_xlfn.FORECAST.LINEAR(R$6,'Achtergrond verbruiksprofielen'!$E$54:$F$54,'Achtergrond verbruiksprofielen'!$E$52:$F$52)</f>
        <v>5.2000000000001378E-2</v>
      </c>
      <c r="S125" s="35">
        <f>_xlfn.FORECAST.LINEAR(S$6,'Achtergrond verbruiksprofielen'!$E$54:$F$54,'Achtergrond verbruiksprofielen'!$E$52:$F$52)</f>
        <v>5.6000000000000938E-2</v>
      </c>
      <c r="T125" s="35">
        <f>'Achtergrond verbruiksprofielen'!$F$54</f>
        <v>0.06</v>
      </c>
      <c r="U125" s="35">
        <f>'Achtergrond verbruiksprofielen'!$F$54</f>
        <v>0.06</v>
      </c>
      <c r="V125" s="35">
        <f>'Achtergrond verbruiksprofielen'!$F$54</f>
        <v>0.06</v>
      </c>
      <c r="W125" s="35">
        <f>'Achtergrond verbruiksprofielen'!$F$54</f>
        <v>0.06</v>
      </c>
      <c r="X125" s="35">
        <f>'Achtergrond verbruiksprofielen'!$F$54</f>
        <v>0.06</v>
      </c>
      <c r="Y125" s="35">
        <f>'Achtergrond verbruiksprofielen'!$F$54</f>
        <v>0.06</v>
      </c>
      <c r="Z125" s="35">
        <f>'Achtergrond verbruiksprofielen'!$F$54</f>
        <v>0.06</v>
      </c>
      <c r="AA125" s="35">
        <f>'Achtergrond verbruiksprofielen'!$F$54</f>
        <v>0.06</v>
      </c>
      <c r="AB125" s="35">
        <f>'Achtergrond verbruiksprofielen'!$F$54</f>
        <v>0.06</v>
      </c>
      <c r="AC125" s="35">
        <f>'Achtergrond verbruiksprofielen'!$F$54</f>
        <v>0.06</v>
      </c>
      <c r="AD125" s="35">
        <f>'Achtergrond verbruiksprofielen'!$F$54</f>
        <v>0.06</v>
      </c>
      <c r="AE125" s="35">
        <f>'Achtergrond verbruiksprofielen'!$F$54</f>
        <v>0.06</v>
      </c>
      <c r="AF125" s="35">
        <f>'Achtergrond verbruiksprofielen'!$F$54</f>
        <v>0.06</v>
      </c>
      <c r="AG125" s="35">
        <f>'Achtergrond verbruiksprofielen'!$F$54</f>
        <v>0.06</v>
      </c>
      <c r="AH125" s="35">
        <f>'Achtergrond verbruiksprofielen'!$F$54</f>
        <v>0.06</v>
      </c>
      <c r="AI125" s="60"/>
      <c r="AJ125" s="60"/>
      <c r="AK125" s="60"/>
    </row>
    <row r="126" spans="1:37" ht="18" x14ac:dyDescent="0.3">
      <c r="A126" s="11" t="s">
        <v>86</v>
      </c>
      <c r="B126" s="11"/>
      <c r="C126" s="11"/>
      <c r="D126" s="33" t="s">
        <v>62</v>
      </c>
      <c r="E126" s="35">
        <f>'Achtergrond verbruiksprofielen'!$C$83</f>
        <v>1.4999999999999999E-2</v>
      </c>
      <c r="F126" s="35">
        <f>'Achtergrond verbruiksprofielen'!$C$83+(F116-'Achtergrond verbruiksprofielen'!$C$81)*('Achtergrond verbruiksprofielen'!$D$83-'Achtergrond verbruiksprofielen'!$C$83)/('Achtergrond verbruiksprofielen'!$D$81-'Achtergrond verbruiksprofielen'!$C$81)</f>
        <v>1.4999999999999999E-2</v>
      </c>
      <c r="G126" s="35">
        <f>'Achtergrond verbruiksprofielen'!$C$83+(G116-'Achtergrond verbruiksprofielen'!$C$81)*('Achtergrond verbruiksprofielen'!$D$83-'Achtergrond verbruiksprofielen'!$C$83)/('Achtergrond verbruiksprofielen'!$D$81-'Achtergrond verbruiksprofielen'!$C$81)</f>
        <v>1.4999999999999999E-2</v>
      </c>
      <c r="H126" s="35">
        <f>'Achtergrond verbruiksprofielen'!$C$83+(H116-'Achtergrond verbruiksprofielen'!$C$81)*('Achtergrond verbruiksprofielen'!$D$83-'Achtergrond verbruiksprofielen'!$C$83)/('Achtergrond verbruiksprofielen'!$D$81-'Achtergrond verbruiksprofielen'!$C$81)</f>
        <v>1.4999999999999999E-2</v>
      </c>
      <c r="I126" s="35">
        <f>'Achtergrond verbruiksprofielen'!$C$83+(I116-'Achtergrond verbruiksprofielen'!$C$81)*('Achtergrond verbruiksprofielen'!$D$83-'Achtergrond verbruiksprofielen'!$C$83)/('Achtergrond verbruiksprofielen'!$D$81-'Achtergrond verbruiksprofielen'!$C$81)</f>
        <v>1.4999999999999999E-2</v>
      </c>
      <c r="J126" s="35">
        <f>'Achtergrond verbruiksprofielen'!$D$83</f>
        <v>1.4999999999999999E-2</v>
      </c>
      <c r="K126" s="35">
        <f>'Achtergrond verbruiksprofielen'!$D$83+(K116-'Achtergrond verbruiksprofielen'!$D$81)*('Achtergrond verbruiksprofielen'!$E$83-'Achtergrond verbruiksprofielen'!$D$83)/('Achtergrond verbruiksprofielen'!$E$81-'Achtergrond verbruiksprofielen'!$D$81)</f>
        <v>1.4999999999999999E-2</v>
      </c>
      <c r="L126" s="35">
        <f>'Achtergrond verbruiksprofielen'!$D$83+(L116-'Achtergrond verbruiksprofielen'!$D$81)*('Achtergrond verbruiksprofielen'!$E$83-'Achtergrond verbruiksprofielen'!$D$83)/('Achtergrond verbruiksprofielen'!$E$81-'Achtergrond verbruiksprofielen'!$D$81)</f>
        <v>1.4999999999999999E-2</v>
      </c>
      <c r="M126" s="35">
        <f>'Achtergrond verbruiksprofielen'!$D$83+(M116-'Achtergrond verbruiksprofielen'!$D$81)*('Achtergrond verbruiksprofielen'!$E$83-'Achtergrond verbruiksprofielen'!$D$83)/('Achtergrond verbruiksprofielen'!$E$81-'Achtergrond verbruiksprofielen'!$D$81)</f>
        <v>1.4999999999999999E-2</v>
      </c>
      <c r="N126" s="35">
        <f>'Achtergrond verbruiksprofielen'!$D$83+(N116-'Achtergrond verbruiksprofielen'!$D$81)*('Achtergrond verbruiksprofielen'!$E$83-'Achtergrond verbruiksprofielen'!$D$83)/('Achtergrond verbruiksprofielen'!$E$81-'Achtergrond verbruiksprofielen'!$D$81)</f>
        <v>1.4999999999999999E-2</v>
      </c>
      <c r="O126" s="35">
        <f>'Achtergrond verbruiksprofielen'!$E$83</f>
        <v>1.4999999999999999E-2</v>
      </c>
      <c r="P126" s="35">
        <f>'Achtergrond verbruiksprofielen'!$E$83+(P116-'Achtergrond verbruiksprofielen'!$E$81)*('Achtergrond verbruiksprofielen'!$F$83-'Achtergrond verbruiksprofielen'!$E$83)/('Achtergrond verbruiksprofielen'!$F$81-'Achtergrond verbruiksprofielen'!$E$81)</f>
        <v>1.4999999999999999E-2</v>
      </c>
      <c r="Q126" s="35">
        <f>'Achtergrond verbruiksprofielen'!$E$83+(Q116-'Achtergrond verbruiksprofielen'!$E$81)*('Achtergrond verbruiksprofielen'!$F$83-'Achtergrond verbruiksprofielen'!$E$83)/('Achtergrond verbruiksprofielen'!$F$81-'Achtergrond verbruiksprofielen'!$E$81)</f>
        <v>1.4999999999999999E-2</v>
      </c>
      <c r="R126" s="35">
        <f>'Achtergrond verbruiksprofielen'!$E$83+(R116-'Achtergrond verbruiksprofielen'!$E$81)*('Achtergrond verbruiksprofielen'!$F$83-'Achtergrond verbruiksprofielen'!$E$83)/('Achtergrond verbruiksprofielen'!$F$81-'Achtergrond verbruiksprofielen'!$E$81)</f>
        <v>1.4999999999999999E-2</v>
      </c>
      <c r="S126" s="35">
        <f>'Achtergrond verbruiksprofielen'!$E$83+(S116-'Achtergrond verbruiksprofielen'!$E$81)*('Achtergrond verbruiksprofielen'!$F$83-'Achtergrond verbruiksprofielen'!$E$83)/('Achtergrond verbruiksprofielen'!$F$81-'Achtergrond verbruiksprofielen'!$E$81)</f>
        <v>1.4999999999999999E-2</v>
      </c>
      <c r="T126" s="35">
        <f>'Achtergrond verbruiksprofielen'!$F$83</f>
        <v>1.4999999999999999E-2</v>
      </c>
      <c r="U126" s="35">
        <f>'Achtergrond verbruiksprofielen'!$F$83+(U116-'Achtergrond verbruiksprofielen'!$F$81)*('Achtergrond verbruiksprofielen'!$G$83-'Achtergrond verbruiksprofielen'!$F$83)/('Achtergrond verbruiksprofielen'!$G$81-'Achtergrond verbruiksprofielen'!$F$81)</f>
        <v>1.4999999999999999E-2</v>
      </c>
      <c r="V126" s="35">
        <f>'Achtergrond verbruiksprofielen'!$F$83+(V116-'Achtergrond verbruiksprofielen'!$F$81)*('Achtergrond verbruiksprofielen'!$G$83-'Achtergrond verbruiksprofielen'!$F$83)/('Achtergrond verbruiksprofielen'!$G$81-'Achtergrond verbruiksprofielen'!$F$81)</f>
        <v>1.4999999999999999E-2</v>
      </c>
      <c r="W126" s="35">
        <f>'Achtergrond verbruiksprofielen'!$F$83+(W116-'Achtergrond verbruiksprofielen'!$F$81)*('Achtergrond verbruiksprofielen'!$G$83-'Achtergrond verbruiksprofielen'!$F$83)/('Achtergrond verbruiksprofielen'!$G$81-'Achtergrond verbruiksprofielen'!$F$81)</f>
        <v>1.4999999999999999E-2</v>
      </c>
      <c r="X126" s="35">
        <f>'Achtergrond verbruiksprofielen'!$F$83+(X116-'Achtergrond verbruiksprofielen'!$F$81)*('Achtergrond verbruiksprofielen'!$G$83-'Achtergrond verbruiksprofielen'!$F$83)/('Achtergrond verbruiksprofielen'!$G$81-'Achtergrond verbruiksprofielen'!$F$81)</f>
        <v>1.4999999999999999E-2</v>
      </c>
      <c r="Y126" s="35">
        <f>'Achtergrond verbruiksprofielen'!$G$83</f>
        <v>1.4999999999999999E-2</v>
      </c>
      <c r="Z126" s="35">
        <f>'Achtergrond verbruiksprofielen'!$G$83+(Z116-'Achtergrond verbruiksprofielen'!$G$81)*('Achtergrond verbruiksprofielen'!$H$83-'Achtergrond verbruiksprofielen'!$G$83)/('Achtergrond verbruiksprofielen'!$H$81-'Achtergrond verbruiksprofielen'!$G$81)</f>
        <v>1.4999999999999999E-2</v>
      </c>
      <c r="AA126" s="35">
        <f>'Achtergrond verbruiksprofielen'!$G$83+(AA116-'Achtergrond verbruiksprofielen'!$G$81)*('Achtergrond verbruiksprofielen'!$H$83-'Achtergrond verbruiksprofielen'!$G$83)/('Achtergrond verbruiksprofielen'!$H$81-'Achtergrond verbruiksprofielen'!$G$81)</f>
        <v>1.4999999999999999E-2</v>
      </c>
      <c r="AB126" s="35">
        <f>'Achtergrond verbruiksprofielen'!$G$83+(AB116-'Achtergrond verbruiksprofielen'!$G$81)*('Achtergrond verbruiksprofielen'!$H$83-'Achtergrond verbruiksprofielen'!$G$83)/('Achtergrond verbruiksprofielen'!$H$81-'Achtergrond verbruiksprofielen'!$G$81)</f>
        <v>1.4999999999999999E-2</v>
      </c>
      <c r="AC126" s="35">
        <f>'Achtergrond verbruiksprofielen'!$G$83+(AC116-'Achtergrond verbruiksprofielen'!$G$81)*('Achtergrond verbruiksprofielen'!$H$83-'Achtergrond verbruiksprofielen'!$G$83)/('Achtergrond verbruiksprofielen'!$H$81-'Achtergrond verbruiksprofielen'!$G$81)</f>
        <v>1.4999999999999999E-2</v>
      </c>
      <c r="AD126" s="35">
        <f>'Achtergrond verbruiksprofielen'!$H$83</f>
        <v>1.4999999999999999E-2</v>
      </c>
      <c r="AE126" s="35">
        <f>'Achtergrond verbruiksprofielen'!$H$83</f>
        <v>1.4999999999999999E-2</v>
      </c>
      <c r="AF126" s="35">
        <f>'Achtergrond verbruiksprofielen'!$H$83</f>
        <v>1.4999999999999999E-2</v>
      </c>
      <c r="AG126" s="35">
        <f>'Achtergrond verbruiksprofielen'!$H$83</f>
        <v>1.4999999999999999E-2</v>
      </c>
      <c r="AH126" s="35">
        <f>'Achtergrond verbruiksprofielen'!$H$83</f>
        <v>1.4999999999999999E-2</v>
      </c>
      <c r="AI126" s="60"/>
      <c r="AJ126" s="60"/>
      <c r="AK126" s="60"/>
    </row>
    <row r="127" spans="1:37" ht="15.6" x14ac:dyDescent="0.3">
      <c r="A127" s="11" t="s">
        <v>87</v>
      </c>
      <c r="B127" s="11"/>
      <c r="C127" s="33"/>
      <c r="D127" s="33" t="s">
        <v>88</v>
      </c>
      <c r="E127" s="51">
        <f>'Achtergrond verbruiksprofielen'!$C$84</f>
        <v>713.31599891999986</v>
      </c>
      <c r="F127" s="51">
        <f>'Achtergrond verbruiksprofielen'!$C$84+(F116-'Achtergrond verbruiksprofielen'!$C$81)*('Achtergrond verbruiksprofielen'!$D$84-'Achtergrond verbruiksprofielen'!$C$84)/('Achtergrond verbruiksprofielen'!$D$81-'Achtergrond verbruiksprofielen'!$C$81)</f>
        <v>789.61428667199982</v>
      </c>
      <c r="G127" s="51">
        <f>'Achtergrond verbruiksprofielen'!$C$84+(G116-'Achtergrond verbruiksprofielen'!$C$81)*('Achtergrond verbruiksprofielen'!$D$84-'Achtergrond verbruiksprofielen'!$C$84)/('Achtergrond verbruiksprofielen'!$D$81-'Achtergrond verbruiksprofielen'!$C$81)</f>
        <v>865.91257442399979</v>
      </c>
      <c r="H127" s="51">
        <f>'Achtergrond verbruiksprofielen'!$C$84+(H116-'Achtergrond verbruiksprofielen'!$C$81)*('Achtergrond verbruiksprofielen'!$D$84-'Achtergrond verbruiksprofielen'!$C$84)/('Achtergrond verbruiksprofielen'!$D$81-'Achtergrond verbruiksprofielen'!$C$81)</f>
        <v>942.21086217599986</v>
      </c>
      <c r="I127" s="51">
        <f>'Achtergrond verbruiksprofielen'!$C$84+(I116-'Achtergrond verbruiksprofielen'!$C$81)*('Achtergrond verbruiksprofielen'!$D$84-'Achtergrond verbruiksprofielen'!$C$84)/('Achtergrond verbruiksprofielen'!$D$81-'Achtergrond verbruiksprofielen'!$C$81)</f>
        <v>1018.5091499279998</v>
      </c>
      <c r="J127" s="51">
        <f>'Achtergrond verbruiksprofielen'!$D$84</f>
        <v>1094.8074376799998</v>
      </c>
      <c r="K127" s="51">
        <f>'Achtergrond verbruiksprofielen'!$D$84+(K116-'Achtergrond verbruiksprofielen'!$D$81)*('Achtergrond verbruiksprofielen'!$E$84-'Achtergrond verbruiksprofielen'!$D$84)/('Achtergrond verbruiksprofielen'!$E$81-'Achtergrond verbruiksprofielen'!$D$81)</f>
        <v>1304.0371346159998</v>
      </c>
      <c r="L127" s="51">
        <f>'Achtergrond verbruiksprofielen'!$D$84+(L116-'Achtergrond verbruiksprofielen'!$D$81)*('Achtergrond verbruiksprofielen'!$E$84-'Achtergrond verbruiksprofielen'!$D$84)/('Achtergrond verbruiksprofielen'!$E$81-'Achtergrond verbruiksprofielen'!$D$81)</f>
        <v>1513.2668315519995</v>
      </c>
      <c r="M127" s="51">
        <f>'Achtergrond verbruiksprofielen'!$D$84+(M116-'Achtergrond verbruiksprofielen'!$D$81)*('Achtergrond verbruiksprofielen'!$E$84-'Achtergrond verbruiksprofielen'!$D$84)/('Achtergrond verbruiksprofielen'!$E$81-'Achtergrond verbruiksprofielen'!$D$81)</f>
        <v>1722.4965284879995</v>
      </c>
      <c r="N127" s="51">
        <f>'Achtergrond verbruiksprofielen'!$D$84+(N116-'Achtergrond verbruiksprofielen'!$D$81)*('Achtergrond verbruiksprofielen'!$E$84-'Achtergrond verbruiksprofielen'!$D$84)/('Achtergrond verbruiksprofielen'!$E$81-'Achtergrond verbruiksprofielen'!$D$81)</f>
        <v>1931.7262254239995</v>
      </c>
      <c r="O127" s="51">
        <f>'Achtergrond verbruiksprofielen'!$E$84</f>
        <v>2140.9559223599995</v>
      </c>
      <c r="P127" s="51">
        <f>'Achtergrond verbruiksprofielen'!$E$84+(P116-'Achtergrond verbruiksprofielen'!$E$81)*('Achtergrond verbruiksprofielen'!$F$84-'Achtergrond verbruiksprofielen'!$E$84)/('Achtergrond verbruiksprofielen'!$F$81-'Achtergrond verbruiksprofielen'!$E$81)</f>
        <v>1978.2986445359993</v>
      </c>
      <c r="Q127" s="51">
        <f>'Achtergrond verbruiksprofielen'!$E$84+(Q116-'Achtergrond verbruiksprofielen'!$E$81)*('Achtergrond verbruiksprofielen'!$F$84-'Achtergrond verbruiksprofielen'!$E$84)/('Achtergrond verbruiksprofielen'!$F$81-'Achtergrond verbruiksprofielen'!$E$81)</f>
        <v>1815.6413667119994</v>
      </c>
      <c r="R127" s="51">
        <f>'Achtergrond verbruiksprofielen'!$E$84+(R116-'Achtergrond verbruiksprofielen'!$E$81)*('Achtergrond verbruiksprofielen'!$F$84-'Achtergrond verbruiksprofielen'!$E$84)/('Achtergrond verbruiksprofielen'!$F$81-'Achtergrond verbruiksprofielen'!$E$81)</f>
        <v>1652.9840888879992</v>
      </c>
      <c r="S127" s="51">
        <f>'Achtergrond verbruiksprofielen'!$E$84+(S116-'Achtergrond verbruiksprofielen'!$E$81)*('Achtergrond verbruiksprofielen'!$F$84-'Achtergrond verbruiksprofielen'!$E$84)/('Achtergrond verbruiksprofielen'!$F$81-'Achtergrond verbruiksprofielen'!$E$81)</f>
        <v>1490.3268110639992</v>
      </c>
      <c r="T127" s="51">
        <f>'Achtergrond verbruiksprofielen'!$F$84</f>
        <v>1327.6695332399991</v>
      </c>
      <c r="U127" s="51">
        <f>'Achtergrond verbruiksprofielen'!$F$84+(U116-'Achtergrond verbruiksprofielen'!$F$81)*('Achtergrond verbruiksprofielen'!$G$84-'Achtergrond verbruiksprofielen'!$F$84)/('Achtergrond verbruiksprofielen'!$G$81-'Achtergrond verbruiksprofielen'!$F$81)</f>
        <v>1350.9818134319992</v>
      </c>
      <c r="V127" s="51">
        <f>'Achtergrond verbruiksprofielen'!$F$84+(V116-'Achtergrond verbruiksprofielen'!$F$81)*('Achtergrond verbruiksprofielen'!$G$84-'Achtergrond verbruiksprofielen'!$F$84)/('Achtergrond verbruiksprofielen'!$G$81-'Achtergrond verbruiksprofielen'!$F$81)</f>
        <v>1374.2940936239993</v>
      </c>
      <c r="W127" s="51">
        <f>'Achtergrond verbruiksprofielen'!$F$84+(W116-'Achtergrond verbruiksprofielen'!$F$81)*('Achtergrond verbruiksprofielen'!$G$84-'Achtergrond verbruiksprofielen'!$F$84)/('Achtergrond verbruiksprofielen'!$G$81-'Achtergrond verbruiksprofielen'!$F$81)</f>
        <v>1397.6063738159992</v>
      </c>
      <c r="X127" s="51">
        <f>'Achtergrond verbruiksprofielen'!$F$84+(X116-'Achtergrond verbruiksprofielen'!$F$81)*('Achtergrond verbruiksprofielen'!$G$84-'Achtergrond verbruiksprofielen'!$F$84)/('Achtergrond verbruiksprofielen'!$G$81-'Achtergrond verbruiksprofielen'!$F$81)</f>
        <v>1420.9186540079993</v>
      </c>
      <c r="Y127" s="51">
        <f>'Achtergrond verbruiksprofielen'!$G$84</f>
        <v>1444.2309341999994</v>
      </c>
      <c r="Z127" s="51">
        <f>'Achtergrond verbruiksprofielen'!$G$84+(Z116-'Achtergrond verbruiksprofielen'!$G$81)*('Achtergrond verbruiksprofielen'!$H$84-'Achtergrond verbruiksprofielen'!$G$84)/('Achtergrond verbruiksprofielen'!$H$81-'Achtergrond verbruiksprofielen'!$G$81)</f>
        <v>1545.0483095279994</v>
      </c>
      <c r="AA127" s="51">
        <f>'Achtergrond verbruiksprofielen'!$G$84+(AA116-'Achtergrond verbruiksprofielen'!$G$81)*('Achtergrond verbruiksprofielen'!$H$84-'Achtergrond verbruiksprofielen'!$G$84)/('Achtergrond verbruiksprofielen'!$H$81-'Achtergrond verbruiksprofielen'!$G$81)</f>
        <v>1645.8656848559992</v>
      </c>
      <c r="AB127" s="51">
        <f>'Achtergrond verbruiksprofielen'!$G$84+(AB116-'Achtergrond verbruiksprofielen'!$G$81)*('Achtergrond verbruiksprofielen'!$H$84-'Achtergrond verbruiksprofielen'!$G$84)/('Achtergrond verbruiksprofielen'!$H$81-'Achtergrond verbruiksprofielen'!$G$81)</f>
        <v>1746.6830601839993</v>
      </c>
      <c r="AC127" s="51">
        <f>'Achtergrond verbruiksprofielen'!$G$84+(AC116-'Achtergrond verbruiksprofielen'!$G$81)*('Achtergrond verbruiksprofielen'!$H$84-'Achtergrond verbruiksprofielen'!$G$84)/('Achtergrond verbruiksprofielen'!$H$81-'Achtergrond verbruiksprofielen'!$G$81)</f>
        <v>1847.5004355119991</v>
      </c>
      <c r="AD127" s="51">
        <f>'Achtergrond verbruiksprofielen'!$H$84</f>
        <v>1948.3178108399991</v>
      </c>
      <c r="AE127" s="51">
        <f>'Achtergrond verbruiksprofielen'!$H$84</f>
        <v>1948.3178108399991</v>
      </c>
      <c r="AF127" s="51">
        <f>'Achtergrond verbruiksprofielen'!$H$84</f>
        <v>1948.3178108399991</v>
      </c>
      <c r="AG127" s="51">
        <f>'Achtergrond verbruiksprofielen'!$H$84</f>
        <v>1948.3178108399991</v>
      </c>
      <c r="AH127" s="51">
        <f>'Achtergrond verbruiksprofielen'!$H$84</f>
        <v>1948.3178108399991</v>
      </c>
      <c r="AI127" s="60"/>
      <c r="AJ127" s="60"/>
      <c r="AK127" s="60"/>
    </row>
    <row r="128" spans="1:37" ht="15.6" x14ac:dyDescent="0.3">
      <c r="A128" s="11"/>
      <c r="B128" s="11"/>
      <c r="C128" s="11"/>
      <c r="D128" s="11"/>
      <c r="E128" s="341"/>
      <c r="F128" s="341"/>
      <c r="G128" s="341"/>
      <c r="H128" s="341"/>
      <c r="I128" s="341"/>
      <c r="J128" s="341"/>
      <c r="K128" s="341"/>
      <c r="L128" s="341"/>
      <c r="M128" s="341"/>
      <c r="N128" s="341"/>
      <c r="O128" s="341"/>
      <c r="P128" s="341"/>
      <c r="Q128" s="341"/>
      <c r="R128" s="341"/>
      <c r="S128" s="341"/>
      <c r="T128" s="341"/>
      <c r="U128" s="341"/>
      <c r="V128" s="341"/>
      <c r="W128" s="341"/>
      <c r="X128" s="341"/>
      <c r="Y128" s="341"/>
      <c r="Z128" s="341"/>
      <c r="AA128" s="341"/>
      <c r="AB128" s="341"/>
      <c r="AC128" s="341"/>
      <c r="AD128" s="341"/>
      <c r="AE128" s="341"/>
      <c r="AF128" s="341"/>
      <c r="AG128" s="341"/>
      <c r="AH128" s="341"/>
      <c r="AI128" s="60"/>
      <c r="AJ128" s="60"/>
      <c r="AK128" s="60"/>
    </row>
    <row r="129" spans="1:37" ht="15.6" x14ac:dyDescent="0.3">
      <c r="A129" s="66" t="s">
        <v>91</v>
      </c>
      <c r="B129" s="11"/>
      <c r="C129" s="11"/>
      <c r="D129" s="58" t="s">
        <v>81</v>
      </c>
      <c r="E129" s="58"/>
      <c r="F129" s="58"/>
      <c r="G129" s="58"/>
      <c r="H129" s="58"/>
      <c r="I129" s="58"/>
      <c r="J129" s="58"/>
      <c r="K129" s="58"/>
      <c r="L129" s="58"/>
      <c r="M129" s="58"/>
      <c r="N129" s="58"/>
      <c r="O129" s="58"/>
      <c r="P129" s="58"/>
      <c r="Q129" s="58"/>
      <c r="R129" s="58"/>
      <c r="S129" s="58"/>
      <c r="T129" s="58"/>
      <c r="U129" s="58"/>
      <c r="V129" s="58"/>
      <c r="W129" s="58"/>
      <c r="X129" s="58"/>
      <c r="Y129" s="58"/>
      <c r="Z129" s="58"/>
      <c r="AA129" s="58"/>
      <c r="AB129" s="58"/>
      <c r="AC129" s="58"/>
      <c r="AD129" s="58"/>
      <c r="AE129" s="58"/>
      <c r="AF129" s="58"/>
      <c r="AG129" s="58"/>
      <c r="AH129" s="58"/>
      <c r="AI129" s="60"/>
      <c r="AJ129" s="60"/>
      <c r="AK129" s="60"/>
    </row>
    <row r="130" spans="1:37" ht="18" x14ac:dyDescent="0.3">
      <c r="A130" s="11" t="s">
        <v>82</v>
      </c>
      <c r="B130" s="11"/>
      <c r="C130" s="11"/>
      <c r="D130" s="33" t="s">
        <v>90</v>
      </c>
      <c r="E130" s="50">
        <f>'Achtergrond verbruiksprofielen'!$C$94</f>
        <v>3.2000000000000001E-2</v>
      </c>
      <c r="F130" s="50">
        <f>'Achtergrond verbruiksprofielen'!$C$94</f>
        <v>3.2000000000000001E-2</v>
      </c>
      <c r="G130" s="50">
        <f>'Achtergrond verbruiksprofielen'!$C$94</f>
        <v>3.2000000000000001E-2</v>
      </c>
      <c r="H130" s="50">
        <f>'Achtergrond verbruiksprofielen'!$C$94</f>
        <v>3.2000000000000001E-2</v>
      </c>
      <c r="I130" s="50">
        <f>'Achtergrond verbruiksprofielen'!$C$94</f>
        <v>3.2000000000000001E-2</v>
      </c>
      <c r="J130" s="50">
        <f>'Achtergrond verbruiksprofielen'!$C$94</f>
        <v>3.2000000000000001E-2</v>
      </c>
      <c r="K130" s="50">
        <f>'Achtergrond verbruiksprofielen'!$C$94</f>
        <v>3.2000000000000001E-2</v>
      </c>
      <c r="L130" s="50">
        <f>'Achtergrond verbruiksprofielen'!$C$94</f>
        <v>3.2000000000000001E-2</v>
      </c>
      <c r="M130" s="50">
        <f>'Achtergrond verbruiksprofielen'!$C$94</f>
        <v>3.2000000000000001E-2</v>
      </c>
      <c r="N130" s="50">
        <f>'Achtergrond verbruiksprofielen'!$C$94</f>
        <v>3.2000000000000001E-2</v>
      </c>
      <c r="O130" s="50">
        <f>'Achtergrond verbruiksprofielen'!$C$94</f>
        <v>3.2000000000000001E-2</v>
      </c>
      <c r="P130" s="50">
        <f>'Achtergrond verbruiksprofielen'!$C$94</f>
        <v>3.2000000000000001E-2</v>
      </c>
      <c r="Q130" s="50">
        <f>'Achtergrond verbruiksprofielen'!$C$94</f>
        <v>3.2000000000000001E-2</v>
      </c>
      <c r="R130" s="50">
        <f>'Achtergrond verbruiksprofielen'!$C$94</f>
        <v>3.2000000000000001E-2</v>
      </c>
      <c r="S130" s="50">
        <f>'Achtergrond verbruiksprofielen'!$C$94</f>
        <v>3.2000000000000001E-2</v>
      </c>
      <c r="T130" s="50">
        <f>'Achtergrond verbruiksprofielen'!$C$94</f>
        <v>3.2000000000000001E-2</v>
      </c>
      <c r="U130" s="50">
        <f>'Achtergrond verbruiksprofielen'!$C$94</f>
        <v>3.2000000000000001E-2</v>
      </c>
      <c r="V130" s="50">
        <f>'Achtergrond verbruiksprofielen'!$C$94</f>
        <v>3.2000000000000001E-2</v>
      </c>
      <c r="W130" s="50">
        <f>'Achtergrond verbruiksprofielen'!$C$94</f>
        <v>3.2000000000000001E-2</v>
      </c>
      <c r="X130" s="50">
        <f>'Achtergrond verbruiksprofielen'!$C$94</f>
        <v>3.2000000000000001E-2</v>
      </c>
      <c r="Y130" s="50">
        <f>'Achtergrond verbruiksprofielen'!$C$94</f>
        <v>3.2000000000000001E-2</v>
      </c>
      <c r="Z130" s="50">
        <f>'Achtergrond verbruiksprofielen'!$C$94</f>
        <v>3.2000000000000001E-2</v>
      </c>
      <c r="AA130" s="50">
        <f>'Achtergrond verbruiksprofielen'!$C$94</f>
        <v>3.2000000000000001E-2</v>
      </c>
      <c r="AB130" s="50">
        <f>'Achtergrond verbruiksprofielen'!$C$94</f>
        <v>3.2000000000000001E-2</v>
      </c>
      <c r="AC130" s="50">
        <f>'Achtergrond verbruiksprofielen'!$C$94</f>
        <v>3.2000000000000001E-2</v>
      </c>
      <c r="AD130" s="50">
        <f>'Achtergrond verbruiksprofielen'!$C$94</f>
        <v>3.2000000000000001E-2</v>
      </c>
      <c r="AE130" s="50">
        <f>'Achtergrond verbruiksprofielen'!$C$94</f>
        <v>3.2000000000000001E-2</v>
      </c>
      <c r="AF130" s="50">
        <f>'Achtergrond verbruiksprofielen'!$C$94</f>
        <v>3.2000000000000001E-2</v>
      </c>
      <c r="AG130" s="50">
        <f>'Achtergrond verbruiksprofielen'!$C$94</f>
        <v>3.2000000000000001E-2</v>
      </c>
      <c r="AH130" s="50">
        <f>'Achtergrond verbruiksprofielen'!$C$94</f>
        <v>3.2000000000000001E-2</v>
      </c>
      <c r="AI130" s="60"/>
      <c r="AJ130" s="60"/>
      <c r="AK130" s="60"/>
    </row>
    <row r="131" spans="1:37" ht="18" x14ac:dyDescent="0.4">
      <c r="A131" s="11" t="s">
        <v>178</v>
      </c>
      <c r="B131" s="11"/>
      <c r="C131" s="11"/>
      <c r="D131" s="223" t="s">
        <v>167</v>
      </c>
      <c r="E131" s="35">
        <v>0</v>
      </c>
      <c r="F131" s="35">
        <v>0</v>
      </c>
      <c r="G131" s="35">
        <v>0</v>
      </c>
      <c r="H131" s="35">
        <f>_xlfn.FORECAST.LINEAR(H$6,'Achtergrond verbruiksprofielen'!$C$98:$D$98,'Achtergrond verbruiksprofielen'!$C$96:$D$96)</f>
        <v>1.3999999999995794E-2</v>
      </c>
      <c r="I131" s="35">
        <f>_xlfn.FORECAST.LINEAR(I$6,'Achtergrond verbruiksprofielen'!$C$98:$D$98,'Achtergrond verbruiksprofielen'!$C$96:$D$96)</f>
        <v>2.9333333333330103E-2</v>
      </c>
      <c r="J131" s="35">
        <f>_xlfn.FORECAST.LINEAR(J$6,'Achtergrond verbruiksprofielen'!$C$98:$D$98,'Achtergrond verbruiksprofielen'!$C$96:$D$96)</f>
        <v>4.4666666666664412E-2</v>
      </c>
      <c r="K131" s="35">
        <f>_xlfn.FORECAST.LINEAR(K$6,'Achtergrond verbruiksprofielen'!$C$98:$D$98,'Achtergrond verbruiksprofielen'!$C$96:$D$96)</f>
        <v>5.9999999999998721E-2</v>
      </c>
      <c r="L131" s="35">
        <f>_xlfn.FORECAST.LINEAR(L$6,'Achtergrond verbruiksprofielen'!$C$98:$D$98,'Achtergrond verbruiksprofielen'!$C$96:$D$96)</f>
        <v>7.5333333333329477E-2</v>
      </c>
      <c r="M131" s="35">
        <f>_xlfn.FORECAST.LINEAR(M$6,'Achtergrond verbruiksprofielen'!$C$98:$D$98,'Achtergrond verbruiksprofielen'!$C$96:$D$96)</f>
        <v>9.0666666666663787E-2</v>
      </c>
      <c r="N131" s="35">
        <f>_xlfn.FORECAST.LINEAR(N$6,'Achtergrond verbruiksprofielen'!$C$98:$D$98,'Achtergrond verbruiksprofielen'!$C$96:$D$96)</f>
        <v>0.1059999999999981</v>
      </c>
      <c r="O131" s="35">
        <f>_xlfn.FORECAST.LINEAR(O$6,'Achtergrond verbruiksprofielen'!$C$98:$D$98,'Achtergrond verbruiksprofielen'!$C$96:$D$96)</f>
        <v>0.1213333333333324</v>
      </c>
      <c r="P131" s="35">
        <f>_xlfn.FORECAST.LINEAR(P$6,'Achtergrond verbruiksprofielen'!$C$98:$D$98,'Achtergrond verbruiksprofielen'!$C$96:$D$96)</f>
        <v>0.13666666666666316</v>
      </c>
      <c r="Q131" s="35">
        <f>_xlfn.FORECAST.LINEAR(Q$6,'Achtergrond verbruiksprofielen'!$C$98:$D$98,'Achtergrond verbruiksprofielen'!$C$96:$D$96)</f>
        <v>0.15199999999999747</v>
      </c>
      <c r="R131" s="35">
        <f>_xlfn.FORECAST.LINEAR(R$6,'Achtergrond verbruiksprofielen'!$C$98:$D$98,'Achtergrond verbruiksprofielen'!$C$96:$D$96)</f>
        <v>0.16733333333333178</v>
      </c>
      <c r="S131" s="35">
        <f>_xlfn.FORECAST.LINEAR(S$6,'Achtergrond verbruiksprofielen'!$C$98:$D$98,'Achtergrond verbruiksprofielen'!$C$96:$D$96)</f>
        <v>0.18266666666666254</v>
      </c>
      <c r="T131" s="35">
        <f>_xlfn.FORECAST.LINEAR(T$6,'Achtergrond verbruiksprofielen'!$C$98:$D$98,'Achtergrond verbruiksprofielen'!$C$96:$D$96)</f>
        <v>0.19799999999999685</v>
      </c>
      <c r="U131" s="35">
        <f>_xlfn.FORECAST.LINEAR(U$6,'Achtergrond verbruiksprofielen'!$C$98:$D$98,'Achtergrond verbruiksprofielen'!$C$96:$D$96)</f>
        <v>0.21333333333333115</v>
      </c>
      <c r="V131" s="35">
        <f>_xlfn.FORECAST.LINEAR(V$6,'Achtergrond verbruiksprofielen'!$C$98:$D$98,'Achtergrond verbruiksprofielen'!$C$96:$D$96)</f>
        <v>0.22866666666666546</v>
      </c>
      <c r="W131" s="35">
        <f>_xlfn.FORECAST.LINEAR(W$6,'Achtergrond verbruiksprofielen'!$C$98:$D$98,'Achtergrond verbruiksprofielen'!$C$96:$D$96)</f>
        <v>0.24399999999999622</v>
      </c>
      <c r="X131" s="35">
        <f>_xlfn.FORECAST.LINEAR(X$6,'Achtergrond verbruiksprofielen'!$C$98:$D$98,'Achtergrond verbruiksprofielen'!$C$96:$D$96)</f>
        <v>0.25933333333333053</v>
      </c>
      <c r="Y131" s="35">
        <f>_xlfn.FORECAST.LINEAR(Y$6,'Achtergrond verbruiksprofielen'!$C$98:$D$98,'Achtergrond verbruiksprofielen'!$C$96:$D$96)</f>
        <v>0.27466666666666484</v>
      </c>
      <c r="Z131" s="35">
        <f>_xlfn.FORECAST.LINEAR(Z$6,'Achtergrond verbruiksprofielen'!$C$98:$D$98,'Achtergrond verbruiksprofielen'!$C$96:$D$96)</f>
        <v>0.28999999999999915</v>
      </c>
      <c r="AA131" s="35">
        <f>_xlfn.FORECAST.LINEAR(AA$6,'Achtergrond verbruiksprofielen'!$C$98:$D$98,'Achtergrond verbruiksprofielen'!$C$96:$D$96)</f>
        <v>0.3053333333333299</v>
      </c>
      <c r="AB131" s="35">
        <f>_xlfn.FORECAST.LINEAR(AB$6,'Achtergrond verbruiksprofielen'!$C$98:$D$98,'Achtergrond verbruiksprofielen'!$C$96:$D$96)</f>
        <v>0.32066666666666421</v>
      </c>
      <c r="AC131" s="35">
        <f>_xlfn.FORECAST.LINEAR(AC$6,'Achtergrond verbruiksprofielen'!$C$98:$D$98,'Achtergrond verbruiksprofielen'!$C$96:$D$96)</f>
        <v>0.33599999999999852</v>
      </c>
      <c r="AD131" s="35">
        <f>'Achtergrond verbruiksprofielen'!$D$98</f>
        <v>0.06</v>
      </c>
      <c r="AE131" s="35">
        <f>'Achtergrond verbruiksprofielen'!$D$98</f>
        <v>0.06</v>
      </c>
      <c r="AF131" s="35">
        <f>'Achtergrond verbruiksprofielen'!$D$98</f>
        <v>0.06</v>
      </c>
      <c r="AG131" s="35">
        <f>'Achtergrond verbruiksprofielen'!$D$98</f>
        <v>0.06</v>
      </c>
      <c r="AH131" s="35">
        <f>'Achtergrond verbruiksprofielen'!$D$98</f>
        <v>0.06</v>
      </c>
      <c r="AI131" s="60"/>
      <c r="AJ131" s="60"/>
      <c r="AK131" s="60"/>
    </row>
    <row r="132" spans="1:37" ht="18" x14ac:dyDescent="0.3">
      <c r="A132" s="11" t="s">
        <v>86</v>
      </c>
      <c r="B132" s="11"/>
      <c r="C132" s="11"/>
      <c r="D132" s="33" t="s">
        <v>62</v>
      </c>
      <c r="E132" s="35">
        <f>'Achtergrond verbruiksprofielen'!$C$127</f>
        <v>5.0000000000000001E-3</v>
      </c>
      <c r="F132" s="35">
        <f>'Achtergrond verbruiksprofielen'!$C$127+(F116-'Achtergrond verbruiksprofielen'!$C$125)*('Achtergrond verbruiksprofielen'!$D$127-'Achtergrond verbruiksprofielen'!$C$127)/('Achtergrond verbruiksprofielen'!$D$125-'Achtergrond verbruiksprofielen'!$C$125)</f>
        <v>5.0000000000000001E-3</v>
      </c>
      <c r="G132" s="35">
        <f>'Achtergrond verbruiksprofielen'!$C$127+(G116-'Achtergrond verbruiksprofielen'!$C$125)*('Achtergrond verbruiksprofielen'!$D$127-'Achtergrond verbruiksprofielen'!$C$127)/('Achtergrond verbruiksprofielen'!$D$125-'Achtergrond verbruiksprofielen'!$C$125)</f>
        <v>5.0000000000000001E-3</v>
      </c>
      <c r="H132" s="35">
        <f>'Achtergrond verbruiksprofielen'!$C$127+(H116-'Achtergrond verbruiksprofielen'!$C$125)*('Achtergrond verbruiksprofielen'!$D$127-'Achtergrond verbruiksprofielen'!$C$127)/('Achtergrond verbruiksprofielen'!$D$125-'Achtergrond verbruiksprofielen'!$C$125)</f>
        <v>5.0000000000000001E-3</v>
      </c>
      <c r="I132" s="35">
        <f>'Achtergrond verbruiksprofielen'!$C$127+(I116-'Achtergrond verbruiksprofielen'!$C$125)*('Achtergrond verbruiksprofielen'!$D$127-'Achtergrond verbruiksprofielen'!$C$127)/('Achtergrond verbruiksprofielen'!$D$125-'Achtergrond verbruiksprofielen'!$C$125)</f>
        <v>5.0000000000000001E-3</v>
      </c>
      <c r="J132" s="35">
        <f>'Achtergrond verbruiksprofielen'!$D$127</f>
        <v>5.0000000000000001E-3</v>
      </c>
      <c r="K132" s="35">
        <f>'Achtergrond verbruiksprofielen'!$D$127+(K116-'Achtergrond verbruiksprofielen'!$D$125)*('Achtergrond verbruiksprofielen'!$E$127-'Achtergrond verbruiksprofielen'!$D$127)/('Achtergrond verbruiksprofielen'!$E$125-'Achtergrond verbruiksprofielen'!$D$125)</f>
        <v>5.0000000000000001E-3</v>
      </c>
      <c r="L132" s="35">
        <f>'Achtergrond verbruiksprofielen'!$D$127+(L116-'Achtergrond verbruiksprofielen'!$D$125)*('Achtergrond verbruiksprofielen'!$E$127-'Achtergrond verbruiksprofielen'!$D$127)/('Achtergrond verbruiksprofielen'!$E$125-'Achtergrond verbruiksprofielen'!$D$125)</f>
        <v>5.0000000000000001E-3</v>
      </c>
      <c r="M132" s="35">
        <f>'Achtergrond verbruiksprofielen'!$D$127+(M116-'Achtergrond verbruiksprofielen'!$D$125)*('Achtergrond verbruiksprofielen'!$E$127-'Achtergrond verbruiksprofielen'!$D$127)/('Achtergrond verbruiksprofielen'!$E$125-'Achtergrond verbruiksprofielen'!$D$125)</f>
        <v>5.0000000000000001E-3</v>
      </c>
      <c r="N132" s="35">
        <f>'Achtergrond verbruiksprofielen'!$D$127+(N116-'Achtergrond verbruiksprofielen'!$D$125)*('Achtergrond verbruiksprofielen'!$E$127-'Achtergrond verbruiksprofielen'!$D$127)/('Achtergrond verbruiksprofielen'!$E$125-'Achtergrond verbruiksprofielen'!$D$125)</f>
        <v>5.0000000000000001E-3</v>
      </c>
      <c r="O132" s="35">
        <f>'Achtergrond verbruiksprofielen'!$E$127</f>
        <v>5.0000000000000001E-3</v>
      </c>
      <c r="P132" s="35">
        <f>'Achtergrond verbruiksprofielen'!$E$127+(P116-'Achtergrond verbruiksprofielen'!$E$125)*('Achtergrond verbruiksprofielen'!$F$127-'Achtergrond verbruiksprofielen'!$E$127)/('Achtergrond verbruiksprofielen'!$F$125-'Achtergrond verbruiksprofielen'!$E$125)</f>
        <v>5.0000000000000001E-3</v>
      </c>
      <c r="Q132" s="35">
        <f>'Achtergrond verbruiksprofielen'!$E$127+(Q116-'Achtergrond verbruiksprofielen'!$E$125)*('Achtergrond verbruiksprofielen'!$F$127-'Achtergrond verbruiksprofielen'!$E$127)/('Achtergrond verbruiksprofielen'!$F$125-'Achtergrond verbruiksprofielen'!$E$125)</f>
        <v>5.0000000000000001E-3</v>
      </c>
      <c r="R132" s="35">
        <f>'Achtergrond verbruiksprofielen'!$E$127+(R116-'Achtergrond verbruiksprofielen'!$E$125)*('Achtergrond verbruiksprofielen'!$F$127-'Achtergrond verbruiksprofielen'!$E$127)/('Achtergrond verbruiksprofielen'!$F$125-'Achtergrond verbruiksprofielen'!$E$125)</f>
        <v>5.0000000000000001E-3</v>
      </c>
      <c r="S132" s="35">
        <f>'Achtergrond verbruiksprofielen'!$E$127+(S116-'Achtergrond verbruiksprofielen'!$E$125)*('Achtergrond verbruiksprofielen'!$F$127-'Achtergrond verbruiksprofielen'!$E$127)/('Achtergrond verbruiksprofielen'!$F$125-'Achtergrond verbruiksprofielen'!$E$125)</f>
        <v>5.0000000000000001E-3</v>
      </c>
      <c r="T132" s="35">
        <f>'Achtergrond verbruiksprofielen'!$F$127</f>
        <v>5.0000000000000001E-3</v>
      </c>
      <c r="U132" s="35">
        <f>'Achtergrond verbruiksprofielen'!$F$127+(U116-'Achtergrond verbruiksprofielen'!$F$125)*('Achtergrond verbruiksprofielen'!$G$127-'Achtergrond verbruiksprofielen'!$F$127)/('Achtergrond verbruiksprofielen'!$G$125-'Achtergrond verbruiksprofielen'!$F$125)</f>
        <v>5.0000000000000001E-3</v>
      </c>
      <c r="V132" s="35">
        <f>'Achtergrond verbruiksprofielen'!$F$127+(V116-'Achtergrond verbruiksprofielen'!$F$125)*('Achtergrond verbruiksprofielen'!$G$127-'Achtergrond verbruiksprofielen'!$F$127)/('Achtergrond verbruiksprofielen'!$G$125-'Achtergrond verbruiksprofielen'!$F$125)</f>
        <v>5.0000000000000001E-3</v>
      </c>
      <c r="W132" s="35">
        <f>'Achtergrond verbruiksprofielen'!$F$127+(W116-'Achtergrond verbruiksprofielen'!$F$125)*('Achtergrond verbruiksprofielen'!$G$127-'Achtergrond verbruiksprofielen'!$F$127)/('Achtergrond verbruiksprofielen'!$G$125-'Achtergrond verbruiksprofielen'!$F$125)</f>
        <v>5.0000000000000001E-3</v>
      </c>
      <c r="X132" s="35">
        <f>'Achtergrond verbruiksprofielen'!$F$127+(X116-'Achtergrond verbruiksprofielen'!$F$125)*('Achtergrond verbruiksprofielen'!$G$127-'Achtergrond verbruiksprofielen'!$F$127)/('Achtergrond verbruiksprofielen'!$G$125-'Achtergrond verbruiksprofielen'!$F$125)</f>
        <v>5.0000000000000001E-3</v>
      </c>
      <c r="Y132" s="35">
        <f>'Achtergrond verbruiksprofielen'!$G$127</f>
        <v>5.0000000000000001E-3</v>
      </c>
      <c r="Z132" s="35">
        <f>'Achtergrond verbruiksprofielen'!$G$127+(Z116-'Achtergrond verbruiksprofielen'!$G$125)*('Achtergrond verbruiksprofielen'!$H$127-'Achtergrond verbruiksprofielen'!$G$127)/('Achtergrond verbruiksprofielen'!$H$125-'Achtergrond verbruiksprofielen'!$G$125)</f>
        <v>5.0000000000000001E-3</v>
      </c>
      <c r="AA132" s="35">
        <f>'Achtergrond verbruiksprofielen'!$G$127+(AA116-'Achtergrond verbruiksprofielen'!$G$125)*('Achtergrond verbruiksprofielen'!$H$127-'Achtergrond verbruiksprofielen'!$G$127)/('Achtergrond verbruiksprofielen'!$H$125-'Achtergrond verbruiksprofielen'!$G$125)</f>
        <v>5.0000000000000001E-3</v>
      </c>
      <c r="AB132" s="35">
        <f>'Achtergrond verbruiksprofielen'!$G$127+(AB116-'Achtergrond verbruiksprofielen'!$G$125)*('Achtergrond verbruiksprofielen'!$H$127-'Achtergrond verbruiksprofielen'!$G$127)/('Achtergrond verbruiksprofielen'!$H$125-'Achtergrond verbruiksprofielen'!$G$125)</f>
        <v>5.0000000000000001E-3</v>
      </c>
      <c r="AC132" s="35">
        <f>'Achtergrond verbruiksprofielen'!$G$127+(AC116-'Achtergrond verbruiksprofielen'!$G$125)*('Achtergrond verbruiksprofielen'!$H$127-'Achtergrond verbruiksprofielen'!$G$127)/('Achtergrond verbruiksprofielen'!$H$125-'Achtergrond verbruiksprofielen'!$G$125)</f>
        <v>5.0000000000000001E-3</v>
      </c>
      <c r="AD132" s="35">
        <f>'Achtergrond verbruiksprofielen'!$H$127</f>
        <v>5.0000000000000001E-3</v>
      </c>
      <c r="AE132" s="35">
        <f>'Achtergrond verbruiksprofielen'!$H$127</f>
        <v>5.0000000000000001E-3</v>
      </c>
      <c r="AF132" s="35">
        <f>'Achtergrond verbruiksprofielen'!$H$127</f>
        <v>5.0000000000000001E-3</v>
      </c>
      <c r="AG132" s="35">
        <f>'Achtergrond verbruiksprofielen'!$H$127</f>
        <v>5.0000000000000001E-3</v>
      </c>
      <c r="AH132" s="35">
        <f>'Achtergrond verbruiksprofielen'!$H$127</f>
        <v>5.0000000000000001E-3</v>
      </c>
      <c r="AI132" s="60"/>
      <c r="AJ132" s="60"/>
      <c r="AK132" s="60"/>
    </row>
    <row r="133" spans="1:37" ht="15.6" x14ac:dyDescent="0.3">
      <c r="A133" s="11" t="s">
        <v>87</v>
      </c>
      <c r="B133" s="11"/>
      <c r="C133" s="33"/>
      <c r="D133" s="33" t="s">
        <v>88</v>
      </c>
      <c r="E133" s="51">
        <f>'Achtergrond verbruiksprofielen'!$C$128</f>
        <v>1185</v>
      </c>
      <c r="F133" s="51">
        <f>'Achtergrond verbruiksprofielen'!$C$128+(F116-'Achtergrond verbruiksprofielen'!$C$125)*('Achtergrond verbruiksprofielen'!$D$128-'Achtergrond verbruiksprofielen'!$C$128)/('Achtergrond verbruiksprofielen'!$D$125-'Achtergrond verbruiksprofielen'!$C$125)</f>
        <v>1328.0230139759999</v>
      </c>
      <c r="G133" s="51">
        <f>'Achtergrond verbruiksprofielen'!$C$128+(G116-'Achtergrond verbruiksprofielen'!$C$125)*('Achtergrond verbruiksprofielen'!$D$128-'Achtergrond verbruiksprofielen'!$C$128)/('Achtergrond verbruiksprofielen'!$D$125-'Achtergrond verbruiksprofielen'!$C$125)</f>
        <v>1471.0460279519996</v>
      </c>
      <c r="H133" s="51">
        <f>'Achtergrond verbruiksprofielen'!$C$128+(H116-'Achtergrond verbruiksprofielen'!$C$125)*('Achtergrond verbruiksprofielen'!$D$128-'Achtergrond verbruiksprofielen'!$C$128)/('Achtergrond verbruiksprofielen'!$D$125-'Achtergrond verbruiksprofielen'!$C$125)</f>
        <v>1614.0690419279995</v>
      </c>
      <c r="I133" s="51">
        <f>'Achtergrond verbruiksprofielen'!$C$128+(I116-'Achtergrond verbruiksprofielen'!$C$125)*('Achtergrond verbruiksprofielen'!$D$128-'Achtergrond verbruiksprofielen'!$C$128)/('Achtergrond verbruiksprofielen'!$D$125-'Achtergrond verbruiksprofielen'!$C$125)</f>
        <v>1757.0920559039992</v>
      </c>
      <c r="J133" s="51">
        <f>'Achtergrond verbruiksprofielen'!$D$128</f>
        <v>1900.1150698799991</v>
      </c>
      <c r="K133" s="51">
        <f>'Achtergrond verbruiksprofielen'!$D$128+(K116-'Achtergrond verbruiksprofielen'!$D$125)*('Achtergrond verbruiksprofielen'!$E$128-'Achtergrond verbruiksprofielen'!$D$128)/('Achtergrond verbruiksprofielen'!$E$125-'Achtergrond verbruiksprofielen'!$D$125)</f>
        <v>2163.6831168959998</v>
      </c>
      <c r="L133" s="51">
        <f>'Achtergrond verbruiksprofielen'!$D$128+(L116-'Achtergrond verbruiksprofielen'!$D$125)*('Achtergrond verbruiksprofielen'!$E$128-'Achtergrond verbruiksprofielen'!$D$128)/('Achtergrond verbruiksprofielen'!$E$125-'Achtergrond verbruiksprofielen'!$D$125)</f>
        <v>2427.2511639120007</v>
      </c>
      <c r="M133" s="51">
        <f>'Achtergrond verbruiksprofielen'!$D$128+(M116-'Achtergrond verbruiksprofielen'!$D$125)*('Achtergrond verbruiksprofielen'!$E$128-'Achtergrond verbruiksprofielen'!$D$128)/('Achtergrond verbruiksprofielen'!$E$125-'Achtergrond verbruiksprofielen'!$D$125)</f>
        <v>2690.8192109280017</v>
      </c>
      <c r="N133" s="51">
        <f>'Achtergrond verbruiksprofielen'!$D$128+(N116-'Achtergrond verbruiksprofielen'!$D$125)*('Achtergrond verbruiksprofielen'!$E$128-'Achtergrond verbruiksprofielen'!$D$128)/('Achtergrond verbruiksprofielen'!$E$125-'Achtergrond verbruiksprofielen'!$D$125)</f>
        <v>2954.3872579440022</v>
      </c>
      <c r="O133" s="51">
        <f>'Achtergrond verbruiksprofielen'!$E$128</f>
        <v>3217.9553049600031</v>
      </c>
      <c r="P133" s="51">
        <f>'Achtergrond verbruiksprofielen'!$E$128+(P116-'Achtergrond verbruiksprofielen'!$E$125)*('Achtergrond verbruiksprofielen'!$F$128-'Achtergrond verbruiksprofielen'!$E$128)/('Achtergrond verbruiksprofielen'!$F$125-'Achtergrond verbruiksprofielen'!$E$125)</f>
        <v>3108.861395784003</v>
      </c>
      <c r="Q133" s="51">
        <f>'Achtergrond verbruiksprofielen'!$E$128+(Q116-'Achtergrond verbruiksprofielen'!$E$125)*('Achtergrond verbruiksprofielen'!$F$128-'Achtergrond verbruiksprofielen'!$E$128)/('Achtergrond verbruiksprofielen'!$F$125-'Achtergrond verbruiksprofielen'!$E$125)</f>
        <v>2999.7674866080029</v>
      </c>
      <c r="R133" s="51">
        <f>'Achtergrond verbruiksprofielen'!$E$128+(R116-'Achtergrond verbruiksprofielen'!$E$125)*('Achtergrond verbruiksprofielen'!$F$128-'Achtergrond verbruiksprofielen'!$E$128)/('Achtergrond verbruiksprofielen'!$F$125-'Achtergrond verbruiksprofielen'!$E$125)</f>
        <v>2890.6735774320023</v>
      </c>
      <c r="S133" s="51">
        <f>'Achtergrond verbruiksprofielen'!$E$128+(S116-'Achtergrond verbruiksprofielen'!$E$125)*('Achtergrond verbruiksprofielen'!$F$128-'Achtergrond verbruiksprofielen'!$E$128)/('Achtergrond verbruiksprofielen'!$F$125-'Achtergrond verbruiksprofielen'!$E$125)</f>
        <v>2781.5796682560022</v>
      </c>
      <c r="T133" s="51">
        <f>'Achtergrond verbruiksprofielen'!$F$128</f>
        <v>2672.485759080002</v>
      </c>
      <c r="U133" s="51">
        <f>'Achtergrond verbruiksprofielen'!$F$128+(U116-'Achtergrond verbruiksprofielen'!$F$125)*('Achtergrond verbruiksprofielen'!$G$128-'Achtergrond verbruiksprofielen'!$F$128)/('Achtergrond verbruiksprofielen'!$G$125-'Achtergrond verbruiksprofielen'!$F$125)</f>
        <v>2874.3824057040019</v>
      </c>
      <c r="V133" s="51">
        <f>'Achtergrond verbruiksprofielen'!$F$128+(V116-'Achtergrond verbruiksprofielen'!$F$125)*('Achtergrond verbruiksprofielen'!$G$128-'Achtergrond verbruiksprofielen'!$F$128)/('Achtergrond verbruiksprofielen'!$G$125-'Achtergrond verbruiksprofielen'!$F$125)</f>
        <v>3076.2790523280019</v>
      </c>
      <c r="W133" s="51">
        <f>'Achtergrond verbruiksprofielen'!$F$128+(W116-'Achtergrond verbruiksprofielen'!$F$125)*('Achtergrond verbruiksprofielen'!$G$128-'Achtergrond verbruiksprofielen'!$F$128)/('Achtergrond verbruiksprofielen'!$G$125-'Achtergrond verbruiksprofielen'!$F$125)</f>
        <v>3278.1756989520018</v>
      </c>
      <c r="X133" s="51">
        <f>'Achtergrond verbruiksprofielen'!$F$128+(X116-'Achtergrond verbruiksprofielen'!$F$125)*('Achtergrond verbruiksprofielen'!$G$128-'Achtergrond verbruiksprofielen'!$F$128)/('Achtergrond verbruiksprofielen'!$G$125-'Achtergrond verbruiksprofielen'!$F$125)</f>
        <v>3480.0723455760021</v>
      </c>
      <c r="Y133" s="51">
        <f>'Achtergrond verbruiksprofielen'!$G$128</f>
        <v>3681.968992200002</v>
      </c>
      <c r="Z133" s="51">
        <f>'Achtergrond verbruiksprofielen'!$G$128+(Z116-'Achtergrond verbruiksprofielen'!$G$125)*('Achtergrond verbruiksprofielen'!$H$128-'Achtergrond verbruiksprofielen'!$G$128)/('Achtergrond verbruiksprofielen'!$H$125-'Achtergrond verbruiksprofielen'!$G$125)</f>
        <v>3737.4949039440021</v>
      </c>
      <c r="AA133" s="51">
        <f>'Achtergrond verbruiksprofielen'!$G$128+(AA116-'Achtergrond verbruiksprofielen'!$G$125)*('Achtergrond verbruiksprofielen'!$H$128-'Achtergrond verbruiksprofielen'!$G$128)/('Achtergrond verbruiksprofielen'!$H$125-'Achtergrond verbruiksprofielen'!$G$125)</f>
        <v>3793.0208156880021</v>
      </c>
      <c r="AB133" s="51">
        <f>'Achtergrond verbruiksprofielen'!$G$128+(AB116-'Achtergrond verbruiksprofielen'!$G$125)*('Achtergrond verbruiksprofielen'!$H$128-'Achtergrond verbruiksprofielen'!$G$128)/('Achtergrond verbruiksprofielen'!$H$125-'Achtergrond verbruiksprofielen'!$G$125)</f>
        <v>3848.5467274320022</v>
      </c>
      <c r="AC133" s="51">
        <f>'Achtergrond verbruiksprofielen'!$G$128+(AC116-'Achtergrond verbruiksprofielen'!$G$125)*('Achtergrond verbruiksprofielen'!$H$128-'Achtergrond verbruiksprofielen'!$G$128)/('Achtergrond verbruiksprofielen'!$H$125-'Achtergrond verbruiksprofielen'!$G$125)</f>
        <v>3904.0726391760022</v>
      </c>
      <c r="AD133" s="51">
        <f>'Achtergrond verbruiksprofielen'!$H$128</f>
        <v>3959.5985509200023</v>
      </c>
      <c r="AE133" s="51">
        <f>'Achtergrond verbruiksprofielen'!$H$128</f>
        <v>3959.5985509200023</v>
      </c>
      <c r="AF133" s="51">
        <f>'Achtergrond verbruiksprofielen'!$H$128</f>
        <v>3959.5985509200023</v>
      </c>
      <c r="AG133" s="51">
        <f>'Achtergrond verbruiksprofielen'!$H$128</f>
        <v>3959.5985509200023</v>
      </c>
      <c r="AH133" s="51">
        <f>'Achtergrond verbruiksprofielen'!$H$128</f>
        <v>3959.5985509200023</v>
      </c>
      <c r="AI133" s="60"/>
      <c r="AJ133" s="60"/>
      <c r="AK133" s="60"/>
    </row>
    <row r="134" spans="1:37" ht="15" thickBot="1" x14ac:dyDescent="0.35">
      <c r="A134" s="222"/>
      <c r="B134" s="222"/>
      <c r="C134" s="222"/>
      <c r="D134" s="222"/>
      <c r="E134" s="342"/>
      <c r="F134" s="342"/>
      <c r="G134" s="342"/>
      <c r="H134" s="342"/>
      <c r="I134" s="342"/>
      <c r="J134" s="342"/>
      <c r="K134" s="342"/>
      <c r="L134" s="342"/>
      <c r="M134" s="342"/>
      <c r="N134" s="342"/>
      <c r="O134" s="342"/>
      <c r="P134" s="342"/>
      <c r="Q134" s="342"/>
      <c r="R134" s="342"/>
      <c r="S134" s="342"/>
      <c r="T134" s="342"/>
      <c r="U134" s="342"/>
      <c r="V134" s="342"/>
      <c r="W134" s="342"/>
      <c r="X134" s="342"/>
      <c r="Y134" s="342"/>
      <c r="Z134" s="342"/>
      <c r="AA134" s="342"/>
      <c r="AB134" s="342"/>
      <c r="AC134" s="342"/>
      <c r="AD134" s="342"/>
      <c r="AE134" s="342"/>
      <c r="AF134" s="342"/>
      <c r="AG134" s="342"/>
      <c r="AH134" s="342"/>
      <c r="AI134" s="222"/>
      <c r="AJ134" s="60"/>
      <c r="AK134" s="60"/>
    </row>
    <row r="135" spans="1:37" x14ac:dyDescent="0.3">
      <c r="A135" s="60"/>
      <c r="B135" s="60"/>
      <c r="C135" s="60"/>
      <c r="D135" s="60"/>
      <c r="E135" s="341"/>
      <c r="F135" s="341"/>
      <c r="G135" s="341"/>
      <c r="H135" s="341"/>
      <c r="I135" s="341"/>
      <c r="J135" s="341"/>
      <c r="K135" s="341"/>
      <c r="L135" s="341"/>
      <c r="M135" s="341"/>
      <c r="N135" s="341"/>
      <c r="O135" s="341"/>
      <c r="P135" s="341"/>
      <c r="Q135" s="341"/>
      <c r="R135" s="341"/>
      <c r="S135" s="341"/>
      <c r="T135" s="341"/>
      <c r="U135" s="341"/>
      <c r="V135" s="341"/>
      <c r="W135" s="341"/>
      <c r="X135" s="341"/>
      <c r="Y135" s="341"/>
      <c r="Z135" s="341"/>
      <c r="AA135" s="341"/>
      <c r="AB135" s="341"/>
      <c r="AC135" s="341"/>
      <c r="AD135" s="341"/>
      <c r="AE135" s="341"/>
      <c r="AF135" s="341"/>
      <c r="AG135" s="341"/>
      <c r="AH135" s="341"/>
      <c r="AI135" s="60"/>
      <c r="AJ135" s="60"/>
      <c r="AK135" s="60"/>
    </row>
    <row r="136" spans="1:37" ht="21" x14ac:dyDescent="0.4">
      <c r="A136" s="221" t="str">
        <f>'Dropdown lists'!H9</f>
        <v>MANUAL</v>
      </c>
      <c r="B136" s="66"/>
      <c r="C136" s="11"/>
      <c r="D136" s="11"/>
      <c r="E136" s="341"/>
      <c r="F136" s="341"/>
      <c r="G136" s="341"/>
      <c r="H136" s="341"/>
      <c r="I136" s="341"/>
      <c r="J136" s="341"/>
      <c r="K136" s="341"/>
      <c r="L136" s="341"/>
      <c r="M136" s="341"/>
      <c r="N136" s="341"/>
      <c r="O136" s="341"/>
      <c r="P136" s="341"/>
      <c r="Q136" s="341"/>
      <c r="R136" s="341"/>
      <c r="S136" s="341"/>
      <c r="T136" s="341"/>
      <c r="U136" s="341"/>
      <c r="V136" s="341"/>
      <c r="W136" s="341"/>
      <c r="X136" s="341"/>
      <c r="Y136" s="341"/>
      <c r="Z136" s="341"/>
      <c r="AA136" s="341"/>
      <c r="AB136" s="341"/>
      <c r="AC136" s="341"/>
      <c r="AD136" s="341"/>
      <c r="AE136" s="341"/>
      <c r="AF136" s="341"/>
      <c r="AG136" s="341"/>
      <c r="AH136" s="341"/>
      <c r="AI136" s="60"/>
      <c r="AJ136" s="60"/>
      <c r="AK136" s="60"/>
    </row>
    <row r="137" spans="1:37" ht="15.6" x14ac:dyDescent="0.3">
      <c r="A137" s="11"/>
      <c r="B137" s="11"/>
      <c r="C137" s="11"/>
      <c r="D137" s="11"/>
      <c r="E137" s="341">
        <v>2025</v>
      </c>
      <c r="F137" s="341">
        <v>2026</v>
      </c>
      <c r="G137" s="341">
        <v>2027</v>
      </c>
      <c r="H137" s="341">
        <v>2028</v>
      </c>
      <c r="I137" s="341">
        <v>2029</v>
      </c>
      <c r="J137" s="341">
        <v>2030</v>
      </c>
      <c r="K137" s="341">
        <v>2031</v>
      </c>
      <c r="L137" s="341">
        <v>2032</v>
      </c>
      <c r="M137" s="341">
        <v>2033</v>
      </c>
      <c r="N137" s="341">
        <v>2034</v>
      </c>
      <c r="O137" s="341">
        <v>2035</v>
      </c>
      <c r="P137" s="341">
        <v>2036</v>
      </c>
      <c r="Q137" s="341">
        <v>2037</v>
      </c>
      <c r="R137" s="341">
        <v>2038</v>
      </c>
      <c r="S137" s="341">
        <v>2039</v>
      </c>
      <c r="T137" s="341">
        <v>2040</v>
      </c>
      <c r="U137" s="341">
        <v>2041</v>
      </c>
      <c r="V137" s="341">
        <v>2042</v>
      </c>
      <c r="W137" s="341">
        <v>2043</v>
      </c>
      <c r="X137" s="341">
        <v>2044</v>
      </c>
      <c r="Y137" s="341">
        <v>2045</v>
      </c>
      <c r="Z137" s="341">
        <v>2046</v>
      </c>
      <c r="AA137" s="341">
        <v>2047</v>
      </c>
      <c r="AB137" s="341">
        <v>2048</v>
      </c>
      <c r="AC137" s="341">
        <v>2049</v>
      </c>
      <c r="AD137" s="341">
        <v>2050</v>
      </c>
      <c r="AE137" s="341">
        <v>2051</v>
      </c>
      <c r="AF137" s="341">
        <v>2052</v>
      </c>
      <c r="AG137" s="341">
        <v>2053</v>
      </c>
      <c r="AH137" s="341">
        <v>2054</v>
      </c>
      <c r="AI137" s="60"/>
      <c r="AJ137" s="60"/>
      <c r="AK137" s="60"/>
    </row>
    <row r="138" spans="1:37" ht="15.6" x14ac:dyDescent="0.3">
      <c r="A138" s="66" t="s">
        <v>80</v>
      </c>
      <c r="B138" s="11"/>
      <c r="C138" s="58"/>
      <c r="D138" s="58" t="s">
        <v>81</v>
      </c>
      <c r="E138" s="58">
        <v>1</v>
      </c>
      <c r="F138" s="58">
        <v>2</v>
      </c>
      <c r="G138" s="58">
        <v>3</v>
      </c>
      <c r="H138" s="58">
        <v>4</v>
      </c>
      <c r="I138" s="58">
        <v>5</v>
      </c>
      <c r="J138" s="58">
        <v>6</v>
      </c>
      <c r="K138" s="58">
        <v>7</v>
      </c>
      <c r="L138" s="58">
        <v>8</v>
      </c>
      <c r="M138" s="58">
        <v>9</v>
      </c>
      <c r="N138" s="58">
        <v>10</v>
      </c>
      <c r="O138" s="58">
        <v>11</v>
      </c>
      <c r="P138" s="58">
        <v>12</v>
      </c>
      <c r="Q138" s="58">
        <v>13</v>
      </c>
      <c r="R138" s="58">
        <v>14</v>
      </c>
      <c r="S138" s="58">
        <v>15</v>
      </c>
      <c r="T138" s="58">
        <v>16</v>
      </c>
      <c r="U138" s="58">
        <v>17</v>
      </c>
      <c r="V138" s="58">
        <v>18</v>
      </c>
      <c r="W138" s="58">
        <v>19</v>
      </c>
      <c r="X138" s="58">
        <v>20</v>
      </c>
      <c r="Y138" s="58">
        <v>21</v>
      </c>
      <c r="Z138" s="58">
        <v>22</v>
      </c>
      <c r="AA138" s="58">
        <v>23</v>
      </c>
      <c r="AB138" s="58">
        <v>24</v>
      </c>
      <c r="AC138" s="58">
        <v>25</v>
      </c>
      <c r="AD138" s="58">
        <v>26</v>
      </c>
      <c r="AE138" s="58">
        <v>27</v>
      </c>
      <c r="AF138" s="58">
        <v>28</v>
      </c>
      <c r="AG138" s="58">
        <v>29</v>
      </c>
      <c r="AH138" s="58">
        <v>30</v>
      </c>
      <c r="AI138" s="60"/>
      <c r="AJ138" s="60"/>
      <c r="AK138" s="60"/>
    </row>
    <row r="139" spans="1:37" ht="18" x14ac:dyDescent="0.3">
      <c r="A139" s="11" t="s">
        <v>82</v>
      </c>
      <c r="B139" s="11"/>
      <c r="C139" s="33"/>
      <c r="D139" s="33" t="s">
        <v>90</v>
      </c>
      <c r="E139" s="50">
        <f>'Manuele input'!E8</f>
        <v>0</v>
      </c>
      <c r="F139" s="50">
        <f>'Manuele input'!F8</f>
        <v>0</v>
      </c>
      <c r="G139" s="50">
        <f>'Manuele input'!G8</f>
        <v>0</v>
      </c>
      <c r="H139" s="50">
        <f>'Manuele input'!H8</f>
        <v>0</v>
      </c>
      <c r="I139" s="50">
        <f>'Manuele input'!I8</f>
        <v>0</v>
      </c>
      <c r="J139" s="50">
        <f>'Manuele input'!J8</f>
        <v>0</v>
      </c>
      <c r="K139" s="50">
        <f>'Manuele input'!K8</f>
        <v>0</v>
      </c>
      <c r="L139" s="50">
        <f>'Manuele input'!L8</f>
        <v>0</v>
      </c>
      <c r="M139" s="50">
        <f>'Manuele input'!M8</f>
        <v>0</v>
      </c>
      <c r="N139" s="50">
        <f>'Manuele input'!N8</f>
        <v>0</v>
      </c>
      <c r="O139" s="50">
        <f>'Manuele input'!O8</f>
        <v>0</v>
      </c>
      <c r="P139" s="50">
        <f>'Manuele input'!P8</f>
        <v>0</v>
      </c>
      <c r="Q139" s="50">
        <f>'Manuele input'!Q8</f>
        <v>0</v>
      </c>
      <c r="R139" s="50">
        <f>'Manuele input'!R8</f>
        <v>0</v>
      </c>
      <c r="S139" s="50">
        <f>'Manuele input'!S8</f>
        <v>0</v>
      </c>
      <c r="T139" s="50">
        <f>'Manuele input'!T8</f>
        <v>0</v>
      </c>
      <c r="U139" s="50">
        <f>'Manuele input'!U8</f>
        <v>0</v>
      </c>
      <c r="V139" s="50">
        <f>'Manuele input'!V8</f>
        <v>0</v>
      </c>
      <c r="W139" s="50">
        <f>'Manuele input'!W8</f>
        <v>0</v>
      </c>
      <c r="X139" s="50">
        <f>'Manuele input'!X8</f>
        <v>0</v>
      </c>
      <c r="Y139" s="50">
        <f>'Manuele input'!Y8</f>
        <v>0</v>
      </c>
      <c r="Z139" s="50">
        <f>'Manuele input'!Z8</f>
        <v>0</v>
      </c>
      <c r="AA139" s="50">
        <f>'Manuele input'!AA8</f>
        <v>0</v>
      </c>
      <c r="AB139" s="50">
        <f>'Manuele input'!AB8</f>
        <v>0</v>
      </c>
      <c r="AC139" s="50">
        <f>'Manuele input'!AC8</f>
        <v>0</v>
      </c>
      <c r="AD139" s="50">
        <f>'Manuele input'!AD8</f>
        <v>0</v>
      </c>
      <c r="AE139" s="50">
        <f>'Manuele input'!AE8</f>
        <v>0</v>
      </c>
      <c r="AF139" s="50">
        <f>'Manuele input'!AF8</f>
        <v>0</v>
      </c>
      <c r="AG139" s="50">
        <f>'Manuele input'!AG8</f>
        <v>0</v>
      </c>
      <c r="AH139" s="50">
        <f>'Manuele input'!AH8</f>
        <v>0</v>
      </c>
      <c r="AI139" s="60"/>
      <c r="AJ139" s="60"/>
      <c r="AK139" s="60"/>
    </row>
    <row r="140" spans="1:37" ht="18" x14ac:dyDescent="0.4">
      <c r="A140" s="11" t="s">
        <v>84</v>
      </c>
      <c r="B140" s="11"/>
      <c r="C140" s="33"/>
      <c r="D140" s="223" t="s">
        <v>167</v>
      </c>
      <c r="E140" s="35">
        <f>'Manuele input'!E9/5/1000</f>
        <v>0</v>
      </c>
      <c r="F140" s="35">
        <f>'Manuele input'!F9/5/1000</f>
        <v>0</v>
      </c>
      <c r="G140" s="35">
        <f>'Manuele input'!G9/5/1000</f>
        <v>0</v>
      </c>
      <c r="H140" s="35">
        <f>'Manuele input'!H9/5/1000</f>
        <v>0</v>
      </c>
      <c r="I140" s="35">
        <f>'Manuele input'!I9/5/1000</f>
        <v>0</v>
      </c>
      <c r="J140" s="35">
        <f>'Manuele input'!J9/5/1000</f>
        <v>0</v>
      </c>
      <c r="K140" s="35">
        <f>'Manuele input'!K9/5/1000</f>
        <v>0</v>
      </c>
      <c r="L140" s="35">
        <f>'Manuele input'!L9/5/1000</f>
        <v>0</v>
      </c>
      <c r="M140" s="35">
        <f>'Manuele input'!M9/5/1000</f>
        <v>0</v>
      </c>
      <c r="N140" s="35">
        <f>'Manuele input'!N9/5/1000</f>
        <v>0</v>
      </c>
      <c r="O140" s="35">
        <f>'Manuele input'!O9/5/1000</f>
        <v>0</v>
      </c>
      <c r="P140" s="35">
        <f>'Manuele input'!P9/5/1000</f>
        <v>0</v>
      </c>
      <c r="Q140" s="35">
        <f>'Manuele input'!Q9/5/1000</f>
        <v>0</v>
      </c>
      <c r="R140" s="35">
        <f>'Manuele input'!R9/5/1000</f>
        <v>0</v>
      </c>
      <c r="S140" s="35">
        <f>'Manuele input'!S9/5/1000</f>
        <v>0</v>
      </c>
      <c r="T140" s="35">
        <f>'Manuele input'!T9/5/1000</f>
        <v>0</v>
      </c>
      <c r="U140" s="35">
        <f>'Manuele input'!U9/5/1000</f>
        <v>0</v>
      </c>
      <c r="V140" s="35">
        <f>'Manuele input'!V9/5/1000</f>
        <v>0</v>
      </c>
      <c r="W140" s="35">
        <f>'Manuele input'!W9/5/1000</f>
        <v>0</v>
      </c>
      <c r="X140" s="35">
        <f>'Manuele input'!X9/5/1000</f>
        <v>0</v>
      </c>
      <c r="Y140" s="35">
        <f>'Manuele input'!Y9/5/1000</f>
        <v>0</v>
      </c>
      <c r="Z140" s="35">
        <f>'Manuele input'!Z9/5/1000</f>
        <v>0</v>
      </c>
      <c r="AA140" s="35">
        <f>'Manuele input'!AA9/5/1000</f>
        <v>0</v>
      </c>
      <c r="AB140" s="35">
        <f>'Manuele input'!AB9/5/1000</f>
        <v>0</v>
      </c>
      <c r="AC140" s="35">
        <f>'Manuele input'!AC9/5/1000</f>
        <v>0</v>
      </c>
      <c r="AD140" s="35">
        <f>'Manuele input'!AD9/5/1000</f>
        <v>0</v>
      </c>
      <c r="AE140" s="35">
        <f>'Manuele input'!AE9/5/1000</f>
        <v>0</v>
      </c>
      <c r="AF140" s="35">
        <f>'Manuele input'!AF9/5/1000</f>
        <v>0</v>
      </c>
      <c r="AG140" s="35">
        <f>'Manuele input'!AG9/5/1000</f>
        <v>0</v>
      </c>
      <c r="AH140" s="35">
        <f>'Manuele input'!AH9/5/1000</f>
        <v>0</v>
      </c>
      <c r="AI140" s="60"/>
      <c r="AJ140" s="60"/>
      <c r="AK140" s="60"/>
    </row>
    <row r="141" spans="1:37" ht="18" x14ac:dyDescent="0.3">
      <c r="A141" s="11" t="s">
        <v>86</v>
      </c>
      <c r="B141" s="11"/>
      <c r="C141" s="33"/>
      <c r="D141" s="33" t="s">
        <v>62</v>
      </c>
      <c r="E141" s="35">
        <f>'Manuele input'!E10</f>
        <v>0</v>
      </c>
      <c r="F141" s="35">
        <f>'Manuele input'!F10</f>
        <v>0</v>
      </c>
      <c r="G141" s="35">
        <f>'Manuele input'!G10</f>
        <v>0</v>
      </c>
      <c r="H141" s="35">
        <f>'Manuele input'!H10</f>
        <v>0</v>
      </c>
      <c r="I141" s="35">
        <f>'Manuele input'!I10</f>
        <v>0</v>
      </c>
      <c r="J141" s="35">
        <f>'Manuele input'!J10</f>
        <v>0</v>
      </c>
      <c r="K141" s="35">
        <f>'Manuele input'!K10</f>
        <v>0</v>
      </c>
      <c r="L141" s="35">
        <f>'Manuele input'!L10</f>
        <v>0</v>
      </c>
      <c r="M141" s="35">
        <f>'Manuele input'!M10</f>
        <v>0</v>
      </c>
      <c r="N141" s="35">
        <f>'Manuele input'!N10</f>
        <v>0</v>
      </c>
      <c r="O141" s="35">
        <f>'Manuele input'!O10</f>
        <v>0</v>
      </c>
      <c r="P141" s="35">
        <f>'Manuele input'!P10</f>
        <v>0</v>
      </c>
      <c r="Q141" s="35">
        <f>'Manuele input'!Q10</f>
        <v>0</v>
      </c>
      <c r="R141" s="35">
        <f>'Manuele input'!R10</f>
        <v>0</v>
      </c>
      <c r="S141" s="35">
        <f>'Manuele input'!S10</f>
        <v>0</v>
      </c>
      <c r="T141" s="35">
        <f>'Manuele input'!T10</f>
        <v>0</v>
      </c>
      <c r="U141" s="35">
        <f>'Manuele input'!U10</f>
        <v>0</v>
      </c>
      <c r="V141" s="35">
        <f>'Manuele input'!V10</f>
        <v>0</v>
      </c>
      <c r="W141" s="35">
        <f>'Manuele input'!W10</f>
        <v>0</v>
      </c>
      <c r="X141" s="35">
        <f>'Manuele input'!X10</f>
        <v>0</v>
      </c>
      <c r="Y141" s="35">
        <f>'Manuele input'!Y10</f>
        <v>0</v>
      </c>
      <c r="Z141" s="35">
        <f>'Manuele input'!Z10</f>
        <v>0</v>
      </c>
      <c r="AA141" s="35">
        <f>'Manuele input'!AA10</f>
        <v>0</v>
      </c>
      <c r="AB141" s="35">
        <f>'Manuele input'!AB10</f>
        <v>0</v>
      </c>
      <c r="AC141" s="35">
        <f>'Manuele input'!AC10</f>
        <v>0</v>
      </c>
      <c r="AD141" s="35">
        <f>'Manuele input'!AD10</f>
        <v>0</v>
      </c>
      <c r="AE141" s="35">
        <f>'Manuele input'!AE10</f>
        <v>0</v>
      </c>
      <c r="AF141" s="35">
        <f>'Manuele input'!AF10</f>
        <v>0</v>
      </c>
      <c r="AG141" s="35">
        <f>'Manuele input'!AG10</f>
        <v>0</v>
      </c>
      <c r="AH141" s="35">
        <f>'Manuele input'!AH10</f>
        <v>0</v>
      </c>
      <c r="AI141" s="60"/>
      <c r="AJ141" s="60"/>
      <c r="AK141" s="60"/>
    </row>
    <row r="142" spans="1:37" ht="15.6" x14ac:dyDescent="0.3">
      <c r="A142" s="11" t="s">
        <v>87</v>
      </c>
      <c r="B142" s="11"/>
      <c r="C142" s="33"/>
      <c r="D142" s="33" t="s">
        <v>88</v>
      </c>
      <c r="E142" s="361">
        <f>'Manuele input'!E11</f>
        <v>0</v>
      </c>
      <c r="F142" s="361">
        <f>'Manuele input'!F11</f>
        <v>0</v>
      </c>
      <c r="G142" s="361">
        <f>'Manuele input'!G11</f>
        <v>0</v>
      </c>
      <c r="H142" s="361">
        <f>'Manuele input'!H11</f>
        <v>0</v>
      </c>
      <c r="I142" s="361">
        <f>'Manuele input'!I11</f>
        <v>0</v>
      </c>
      <c r="J142" s="361">
        <f>'Manuele input'!J11</f>
        <v>0</v>
      </c>
      <c r="K142" s="361">
        <f>'Manuele input'!K11</f>
        <v>0</v>
      </c>
      <c r="L142" s="361">
        <f>'Manuele input'!L11</f>
        <v>0</v>
      </c>
      <c r="M142" s="361">
        <f>'Manuele input'!M11</f>
        <v>0</v>
      </c>
      <c r="N142" s="361">
        <f>'Manuele input'!N11</f>
        <v>0</v>
      </c>
      <c r="O142" s="361">
        <f>'Manuele input'!O11</f>
        <v>0</v>
      </c>
      <c r="P142" s="361">
        <f>'Manuele input'!P11</f>
        <v>0</v>
      </c>
      <c r="Q142" s="361">
        <f>'Manuele input'!Q11</f>
        <v>0</v>
      </c>
      <c r="R142" s="361">
        <f>'Manuele input'!R11</f>
        <v>0</v>
      </c>
      <c r="S142" s="361">
        <f>'Manuele input'!S11</f>
        <v>0</v>
      </c>
      <c r="T142" s="361">
        <f>'Manuele input'!T11</f>
        <v>0</v>
      </c>
      <c r="U142" s="361">
        <f>'Manuele input'!U11</f>
        <v>0</v>
      </c>
      <c r="V142" s="361">
        <f>'Manuele input'!V11</f>
        <v>0</v>
      </c>
      <c r="W142" s="361">
        <f>'Manuele input'!W11</f>
        <v>0</v>
      </c>
      <c r="X142" s="361">
        <f>'Manuele input'!X11</f>
        <v>0</v>
      </c>
      <c r="Y142" s="361">
        <f>'Manuele input'!Y11</f>
        <v>0</v>
      </c>
      <c r="Z142" s="361">
        <f>'Manuele input'!Z11</f>
        <v>0</v>
      </c>
      <c r="AA142" s="361">
        <f>'Manuele input'!AA11</f>
        <v>0</v>
      </c>
      <c r="AB142" s="361">
        <f>'Manuele input'!AB11</f>
        <v>0</v>
      </c>
      <c r="AC142" s="361">
        <f>'Manuele input'!AC11</f>
        <v>0</v>
      </c>
      <c r="AD142" s="361">
        <f>'Manuele input'!AD11</f>
        <v>0</v>
      </c>
      <c r="AE142" s="361">
        <f>'Manuele input'!AE11</f>
        <v>0</v>
      </c>
      <c r="AF142" s="361">
        <f>'Manuele input'!AF11</f>
        <v>0</v>
      </c>
      <c r="AG142" s="361">
        <f>'Manuele input'!AG11</f>
        <v>0</v>
      </c>
      <c r="AH142" s="361">
        <f>'Manuele input'!AH11</f>
        <v>0</v>
      </c>
      <c r="AI142" s="60"/>
      <c r="AJ142" s="60"/>
      <c r="AK142" s="60"/>
    </row>
    <row r="143" spans="1:37" ht="15.6" x14ac:dyDescent="0.3">
      <c r="A143" s="11"/>
      <c r="B143" s="11"/>
      <c r="C143" s="11"/>
      <c r="D143" s="11"/>
      <c r="E143" s="341"/>
      <c r="F143" s="341"/>
      <c r="G143" s="341"/>
      <c r="H143" s="341"/>
      <c r="I143" s="341"/>
      <c r="J143" s="341"/>
      <c r="K143" s="341"/>
      <c r="L143" s="341"/>
      <c r="M143" s="341"/>
      <c r="N143" s="341"/>
      <c r="O143" s="341"/>
      <c r="P143" s="341"/>
      <c r="Q143" s="341"/>
      <c r="R143" s="341"/>
      <c r="S143" s="341"/>
      <c r="T143" s="341"/>
      <c r="U143" s="341"/>
      <c r="V143" s="341"/>
      <c r="W143" s="341"/>
      <c r="X143" s="341"/>
      <c r="Y143" s="341"/>
      <c r="Z143" s="341"/>
      <c r="AA143" s="341"/>
      <c r="AB143" s="341"/>
      <c r="AC143" s="341"/>
      <c r="AD143" s="341"/>
      <c r="AE143" s="341"/>
      <c r="AF143" s="341"/>
      <c r="AG143" s="341"/>
      <c r="AH143" s="341"/>
      <c r="AI143" s="60"/>
      <c r="AJ143" s="60"/>
      <c r="AK143" s="60"/>
    </row>
    <row r="144" spans="1:37" ht="15.6" x14ac:dyDescent="0.3">
      <c r="A144" s="66" t="s">
        <v>89</v>
      </c>
      <c r="B144" s="11"/>
      <c r="C144" s="11"/>
      <c r="D144" s="58" t="s">
        <v>81</v>
      </c>
      <c r="E144" s="58"/>
      <c r="F144" s="58"/>
      <c r="G144" s="58"/>
      <c r="H144" s="58"/>
      <c r="I144" s="58"/>
      <c r="J144" s="58"/>
      <c r="K144" s="58"/>
      <c r="L144" s="58"/>
      <c r="M144" s="58"/>
      <c r="N144" s="58"/>
      <c r="O144" s="58"/>
      <c r="P144" s="58"/>
      <c r="Q144" s="58"/>
      <c r="R144" s="58"/>
      <c r="S144" s="58"/>
      <c r="T144" s="58"/>
      <c r="U144" s="58"/>
      <c r="V144" s="58"/>
      <c r="W144" s="58"/>
      <c r="X144" s="58"/>
      <c r="Y144" s="58"/>
      <c r="Z144" s="58"/>
      <c r="AA144" s="58"/>
      <c r="AB144" s="58"/>
      <c r="AC144" s="58"/>
      <c r="AD144" s="58"/>
      <c r="AE144" s="58"/>
      <c r="AF144" s="58"/>
      <c r="AG144" s="58"/>
      <c r="AH144" s="58"/>
      <c r="AI144" s="60"/>
      <c r="AJ144" s="60"/>
      <c r="AK144" s="60"/>
    </row>
    <row r="145" spans="1:37" ht="18" x14ac:dyDescent="0.3">
      <c r="A145" s="11" t="s">
        <v>82</v>
      </c>
      <c r="B145" s="11"/>
      <c r="C145" s="11"/>
      <c r="D145" s="33" t="s">
        <v>90</v>
      </c>
      <c r="E145" s="50">
        <f>'Manuele input'!E14</f>
        <v>0</v>
      </c>
      <c r="F145" s="50">
        <f>'Manuele input'!F14</f>
        <v>0</v>
      </c>
      <c r="G145" s="50">
        <f>'Manuele input'!G14</f>
        <v>0</v>
      </c>
      <c r="H145" s="50">
        <f>'Manuele input'!H14</f>
        <v>0</v>
      </c>
      <c r="I145" s="50">
        <f>'Manuele input'!I14</f>
        <v>0</v>
      </c>
      <c r="J145" s="50">
        <f>'Manuele input'!J14</f>
        <v>0</v>
      </c>
      <c r="K145" s="50">
        <f>'Manuele input'!K14</f>
        <v>0</v>
      </c>
      <c r="L145" s="50">
        <f>'Manuele input'!L14</f>
        <v>0</v>
      </c>
      <c r="M145" s="50">
        <f>'Manuele input'!M14</f>
        <v>0</v>
      </c>
      <c r="N145" s="50">
        <f>'Manuele input'!N14</f>
        <v>0</v>
      </c>
      <c r="O145" s="50">
        <f>'Manuele input'!O14</f>
        <v>0</v>
      </c>
      <c r="P145" s="50">
        <f>'Manuele input'!P14</f>
        <v>0</v>
      </c>
      <c r="Q145" s="50">
        <f>'Manuele input'!Q14</f>
        <v>0</v>
      </c>
      <c r="R145" s="50">
        <f>'Manuele input'!R14</f>
        <v>0</v>
      </c>
      <c r="S145" s="50">
        <f>'Manuele input'!S14</f>
        <v>0</v>
      </c>
      <c r="T145" s="50">
        <f>'Manuele input'!T14</f>
        <v>0</v>
      </c>
      <c r="U145" s="50">
        <f>'Manuele input'!U14</f>
        <v>0</v>
      </c>
      <c r="V145" s="50">
        <f>'Manuele input'!V14</f>
        <v>0</v>
      </c>
      <c r="W145" s="50">
        <f>'Manuele input'!W14</f>
        <v>0</v>
      </c>
      <c r="X145" s="50">
        <f>'Manuele input'!X14</f>
        <v>0</v>
      </c>
      <c r="Y145" s="50">
        <f>'Manuele input'!Y14</f>
        <v>0</v>
      </c>
      <c r="Z145" s="50">
        <f>'Manuele input'!Z14</f>
        <v>0</v>
      </c>
      <c r="AA145" s="50">
        <f>'Manuele input'!AA14</f>
        <v>0</v>
      </c>
      <c r="AB145" s="50">
        <f>'Manuele input'!AB14</f>
        <v>0</v>
      </c>
      <c r="AC145" s="50">
        <f>'Manuele input'!AC14</f>
        <v>0</v>
      </c>
      <c r="AD145" s="50">
        <f>'Manuele input'!AD14</f>
        <v>0</v>
      </c>
      <c r="AE145" s="50">
        <f>'Manuele input'!AE14</f>
        <v>0</v>
      </c>
      <c r="AF145" s="50">
        <f>'Manuele input'!AF14</f>
        <v>0</v>
      </c>
      <c r="AG145" s="50">
        <f>'Manuele input'!AG14</f>
        <v>0</v>
      </c>
      <c r="AH145" s="50">
        <f>'Manuele input'!AH14</f>
        <v>0</v>
      </c>
      <c r="AI145" s="60"/>
      <c r="AJ145" s="60"/>
      <c r="AK145" s="60"/>
    </row>
    <row r="146" spans="1:37" ht="18" x14ac:dyDescent="0.4">
      <c r="A146" s="11" t="s">
        <v>84</v>
      </c>
      <c r="B146" s="11"/>
      <c r="C146" s="11"/>
      <c r="D146" s="223" t="s">
        <v>167</v>
      </c>
      <c r="E146" s="35">
        <f>'Manuele input'!E15/5/1000</f>
        <v>0</v>
      </c>
      <c r="F146" s="35">
        <f>'Manuele input'!F15/5/1000</f>
        <v>0</v>
      </c>
      <c r="G146" s="35">
        <f>'Manuele input'!G15/5/1000</f>
        <v>0</v>
      </c>
      <c r="H146" s="35">
        <f>'Manuele input'!H15/5/1000</f>
        <v>0</v>
      </c>
      <c r="I146" s="35">
        <f>'Manuele input'!I15/5/1000</f>
        <v>0</v>
      </c>
      <c r="J146" s="35">
        <f>'Manuele input'!J15/5/1000</f>
        <v>0</v>
      </c>
      <c r="K146" s="35">
        <f>'Manuele input'!K15/5/1000</f>
        <v>0</v>
      </c>
      <c r="L146" s="35">
        <f>'Manuele input'!L15/5/1000</f>
        <v>0</v>
      </c>
      <c r="M146" s="35">
        <f>'Manuele input'!M15/5/1000</f>
        <v>0</v>
      </c>
      <c r="N146" s="35">
        <f>'Manuele input'!N15/5/1000</f>
        <v>0</v>
      </c>
      <c r="O146" s="35">
        <f>'Manuele input'!O15/5/1000</f>
        <v>0</v>
      </c>
      <c r="P146" s="35">
        <f>'Manuele input'!P15/5/1000</f>
        <v>0</v>
      </c>
      <c r="Q146" s="35">
        <f>'Manuele input'!Q15/5/1000</f>
        <v>0</v>
      </c>
      <c r="R146" s="35">
        <f>'Manuele input'!R15/5/1000</f>
        <v>0</v>
      </c>
      <c r="S146" s="35">
        <f>'Manuele input'!S15/5/1000</f>
        <v>0</v>
      </c>
      <c r="T146" s="35">
        <f>'Manuele input'!T15/5/1000</f>
        <v>0</v>
      </c>
      <c r="U146" s="35">
        <f>'Manuele input'!U15/5/1000</f>
        <v>0</v>
      </c>
      <c r="V146" s="35">
        <f>'Manuele input'!V15/5/1000</f>
        <v>0</v>
      </c>
      <c r="W146" s="35">
        <f>'Manuele input'!W15/5/1000</f>
        <v>0</v>
      </c>
      <c r="X146" s="35">
        <f>'Manuele input'!X15/5/1000</f>
        <v>0</v>
      </c>
      <c r="Y146" s="35">
        <f>'Manuele input'!Y15/5/1000</f>
        <v>0</v>
      </c>
      <c r="Z146" s="35">
        <f>'Manuele input'!Z15/5/1000</f>
        <v>0</v>
      </c>
      <c r="AA146" s="35">
        <f>'Manuele input'!AA15/5/1000</f>
        <v>0</v>
      </c>
      <c r="AB146" s="35">
        <f>'Manuele input'!AB15/5/1000</f>
        <v>0</v>
      </c>
      <c r="AC146" s="35">
        <f>'Manuele input'!AC15/5/1000</f>
        <v>0</v>
      </c>
      <c r="AD146" s="35">
        <f>'Manuele input'!AD15/5/1000</f>
        <v>0</v>
      </c>
      <c r="AE146" s="35">
        <f>'Manuele input'!AE15/5/1000</f>
        <v>0</v>
      </c>
      <c r="AF146" s="35">
        <f>'Manuele input'!AF15/5/1000</f>
        <v>0</v>
      </c>
      <c r="AG146" s="35">
        <f>'Manuele input'!AG15/5/1000</f>
        <v>0</v>
      </c>
      <c r="AH146" s="35">
        <f>'Manuele input'!AH15/5/1000</f>
        <v>0</v>
      </c>
      <c r="AI146" s="60"/>
      <c r="AJ146" s="60"/>
      <c r="AK146" s="60"/>
    </row>
    <row r="147" spans="1:37" ht="18" x14ac:dyDescent="0.3">
      <c r="A147" s="11" t="s">
        <v>86</v>
      </c>
      <c r="B147" s="11"/>
      <c r="C147" s="11"/>
      <c r="D147" s="33" t="s">
        <v>62</v>
      </c>
      <c r="E147" s="35">
        <f>'Manuele input'!E16</f>
        <v>0</v>
      </c>
      <c r="F147" s="35">
        <f>'Manuele input'!F16</f>
        <v>0</v>
      </c>
      <c r="G147" s="35">
        <f>'Manuele input'!G16</f>
        <v>0</v>
      </c>
      <c r="H147" s="35">
        <f>'Manuele input'!H16</f>
        <v>0</v>
      </c>
      <c r="I147" s="35">
        <f>'Manuele input'!I16</f>
        <v>0</v>
      </c>
      <c r="J147" s="35">
        <f>'Manuele input'!J16</f>
        <v>0</v>
      </c>
      <c r="K147" s="35">
        <f>'Manuele input'!K16</f>
        <v>0</v>
      </c>
      <c r="L147" s="35">
        <f>'Manuele input'!L16</f>
        <v>0</v>
      </c>
      <c r="M147" s="35">
        <f>'Manuele input'!M16</f>
        <v>0</v>
      </c>
      <c r="N147" s="35">
        <f>'Manuele input'!N16</f>
        <v>0</v>
      </c>
      <c r="O147" s="35">
        <f>'Manuele input'!O16</f>
        <v>0</v>
      </c>
      <c r="P147" s="35">
        <f>'Manuele input'!P16</f>
        <v>0</v>
      </c>
      <c r="Q147" s="35">
        <f>'Manuele input'!Q16</f>
        <v>0</v>
      </c>
      <c r="R147" s="35">
        <f>'Manuele input'!R16</f>
        <v>0</v>
      </c>
      <c r="S147" s="35">
        <f>'Manuele input'!S16</f>
        <v>0</v>
      </c>
      <c r="T147" s="35">
        <f>'Manuele input'!T16</f>
        <v>0</v>
      </c>
      <c r="U147" s="35">
        <f>'Manuele input'!U16</f>
        <v>0</v>
      </c>
      <c r="V147" s="35">
        <f>'Manuele input'!V16</f>
        <v>0</v>
      </c>
      <c r="W147" s="35">
        <f>'Manuele input'!W16</f>
        <v>0</v>
      </c>
      <c r="X147" s="35">
        <f>'Manuele input'!X16</f>
        <v>0</v>
      </c>
      <c r="Y147" s="35">
        <f>'Manuele input'!Y16</f>
        <v>0</v>
      </c>
      <c r="Z147" s="35">
        <f>'Manuele input'!Z16</f>
        <v>0</v>
      </c>
      <c r="AA147" s="35">
        <f>'Manuele input'!AA16</f>
        <v>0</v>
      </c>
      <c r="AB147" s="35">
        <f>'Manuele input'!AB16</f>
        <v>0</v>
      </c>
      <c r="AC147" s="35">
        <f>'Manuele input'!AC16</f>
        <v>0</v>
      </c>
      <c r="AD147" s="35">
        <f>'Manuele input'!AD16</f>
        <v>0</v>
      </c>
      <c r="AE147" s="35">
        <f>'Manuele input'!AE16</f>
        <v>0</v>
      </c>
      <c r="AF147" s="35">
        <f>'Manuele input'!AF16</f>
        <v>0</v>
      </c>
      <c r="AG147" s="35">
        <f>'Manuele input'!AG16</f>
        <v>0</v>
      </c>
      <c r="AH147" s="35">
        <f>'Manuele input'!AH16</f>
        <v>0</v>
      </c>
      <c r="AI147" s="60"/>
      <c r="AJ147" s="60"/>
      <c r="AK147" s="60"/>
    </row>
    <row r="148" spans="1:37" ht="15.6" x14ac:dyDescent="0.3">
      <c r="A148" s="11" t="s">
        <v>87</v>
      </c>
      <c r="B148" s="11"/>
      <c r="C148" s="33"/>
      <c r="D148" s="33" t="s">
        <v>88</v>
      </c>
      <c r="E148" s="361">
        <f>'Manuele input'!E17</f>
        <v>0</v>
      </c>
      <c r="F148" s="361">
        <f>'Manuele input'!F17</f>
        <v>0</v>
      </c>
      <c r="G148" s="361">
        <f>'Manuele input'!G17</f>
        <v>0</v>
      </c>
      <c r="H148" s="361">
        <f>'Manuele input'!H17</f>
        <v>0</v>
      </c>
      <c r="I148" s="361">
        <f>'Manuele input'!I17</f>
        <v>0</v>
      </c>
      <c r="J148" s="361">
        <f>'Manuele input'!J17</f>
        <v>0</v>
      </c>
      <c r="K148" s="361">
        <f>'Manuele input'!K17</f>
        <v>0</v>
      </c>
      <c r="L148" s="361">
        <f>'Manuele input'!L17</f>
        <v>0</v>
      </c>
      <c r="M148" s="361">
        <f>'Manuele input'!M17</f>
        <v>0</v>
      </c>
      <c r="N148" s="361">
        <f>'Manuele input'!N17</f>
        <v>0</v>
      </c>
      <c r="O148" s="361">
        <f>'Manuele input'!O17</f>
        <v>0</v>
      </c>
      <c r="P148" s="361">
        <f>'Manuele input'!P17</f>
        <v>0</v>
      </c>
      <c r="Q148" s="361">
        <f>'Manuele input'!Q17</f>
        <v>0</v>
      </c>
      <c r="R148" s="361">
        <f>'Manuele input'!R17</f>
        <v>0</v>
      </c>
      <c r="S148" s="361">
        <f>'Manuele input'!S17</f>
        <v>0</v>
      </c>
      <c r="T148" s="361">
        <f>'Manuele input'!T17</f>
        <v>0</v>
      </c>
      <c r="U148" s="361">
        <f>'Manuele input'!U17</f>
        <v>0</v>
      </c>
      <c r="V148" s="361">
        <f>'Manuele input'!V17</f>
        <v>0</v>
      </c>
      <c r="W148" s="361">
        <f>'Manuele input'!W17</f>
        <v>0</v>
      </c>
      <c r="X148" s="361">
        <f>'Manuele input'!X17</f>
        <v>0</v>
      </c>
      <c r="Y148" s="361">
        <f>'Manuele input'!Y17</f>
        <v>0</v>
      </c>
      <c r="Z148" s="361">
        <f>'Manuele input'!Z17</f>
        <v>0</v>
      </c>
      <c r="AA148" s="361">
        <f>'Manuele input'!AA17</f>
        <v>0</v>
      </c>
      <c r="AB148" s="361">
        <f>'Manuele input'!AB17</f>
        <v>0</v>
      </c>
      <c r="AC148" s="361">
        <f>'Manuele input'!AC17</f>
        <v>0</v>
      </c>
      <c r="AD148" s="361">
        <f>'Manuele input'!AD17</f>
        <v>0</v>
      </c>
      <c r="AE148" s="361">
        <f>'Manuele input'!AE17</f>
        <v>0</v>
      </c>
      <c r="AF148" s="361">
        <f>'Manuele input'!AF17</f>
        <v>0</v>
      </c>
      <c r="AG148" s="361">
        <f>'Manuele input'!AG17</f>
        <v>0</v>
      </c>
      <c r="AH148" s="361">
        <f>'Manuele input'!AH17</f>
        <v>0</v>
      </c>
      <c r="AI148" s="60"/>
      <c r="AJ148" s="60"/>
      <c r="AK148" s="60"/>
    </row>
    <row r="149" spans="1:37" ht="15.6" x14ac:dyDescent="0.3">
      <c r="A149" s="11"/>
      <c r="B149" s="11"/>
      <c r="C149" s="11"/>
      <c r="D149" s="11"/>
      <c r="E149" s="341"/>
      <c r="F149" s="341"/>
      <c r="G149" s="341"/>
      <c r="H149" s="341"/>
      <c r="I149" s="341"/>
      <c r="J149" s="341"/>
      <c r="K149" s="341"/>
      <c r="L149" s="341"/>
      <c r="M149" s="341"/>
      <c r="N149" s="341"/>
      <c r="O149" s="341"/>
      <c r="P149" s="341"/>
      <c r="Q149" s="341"/>
      <c r="R149" s="341"/>
      <c r="S149" s="341"/>
      <c r="T149" s="341"/>
      <c r="U149" s="341"/>
      <c r="V149" s="341"/>
      <c r="W149" s="341"/>
      <c r="X149" s="341"/>
      <c r="Y149" s="341"/>
      <c r="Z149" s="341"/>
      <c r="AA149" s="341"/>
      <c r="AB149" s="341"/>
      <c r="AC149" s="341"/>
      <c r="AD149" s="341"/>
      <c r="AE149" s="341"/>
      <c r="AF149" s="341"/>
      <c r="AG149" s="341"/>
      <c r="AH149" s="341"/>
      <c r="AI149" s="60"/>
      <c r="AJ149" s="60"/>
      <c r="AK149" s="60"/>
    </row>
    <row r="150" spans="1:37" ht="15.6" x14ac:dyDescent="0.3">
      <c r="A150" s="66" t="s">
        <v>91</v>
      </c>
      <c r="B150" s="11"/>
      <c r="C150" s="11"/>
      <c r="D150" s="58" t="s">
        <v>81</v>
      </c>
      <c r="E150" s="58"/>
      <c r="F150" s="58"/>
      <c r="G150" s="58"/>
      <c r="H150" s="58"/>
      <c r="I150" s="58"/>
      <c r="J150" s="58"/>
      <c r="K150" s="58"/>
      <c r="L150" s="58"/>
      <c r="M150" s="58"/>
      <c r="N150" s="58"/>
      <c r="O150" s="58"/>
      <c r="P150" s="58"/>
      <c r="Q150" s="58"/>
      <c r="R150" s="58"/>
      <c r="S150" s="58"/>
      <c r="T150" s="58"/>
      <c r="U150" s="58"/>
      <c r="V150" s="58"/>
      <c r="W150" s="58"/>
      <c r="X150" s="58"/>
      <c r="Y150" s="58"/>
      <c r="Z150" s="58"/>
      <c r="AA150" s="58"/>
      <c r="AB150" s="58"/>
      <c r="AC150" s="58"/>
      <c r="AD150" s="58"/>
      <c r="AE150" s="58"/>
      <c r="AF150" s="58"/>
      <c r="AG150" s="58"/>
      <c r="AH150" s="58"/>
      <c r="AI150" s="60"/>
      <c r="AJ150" s="60"/>
      <c r="AK150" s="60"/>
    </row>
    <row r="151" spans="1:37" ht="18" x14ac:dyDescent="0.3">
      <c r="A151" s="11" t="s">
        <v>82</v>
      </c>
      <c r="B151" s="11"/>
      <c r="C151" s="11"/>
      <c r="D151" s="33" t="s">
        <v>90</v>
      </c>
      <c r="E151" s="50">
        <f>'Manuele input'!E20</f>
        <v>0</v>
      </c>
      <c r="F151" s="50">
        <f>'Manuele input'!F20</f>
        <v>0</v>
      </c>
      <c r="G151" s="50">
        <f>'Manuele input'!G20</f>
        <v>0</v>
      </c>
      <c r="H151" s="50">
        <f>'Manuele input'!H20</f>
        <v>0</v>
      </c>
      <c r="I151" s="50">
        <f>'Manuele input'!I20</f>
        <v>0</v>
      </c>
      <c r="J151" s="50">
        <f>'Manuele input'!J20</f>
        <v>0</v>
      </c>
      <c r="K151" s="50">
        <f>'Manuele input'!K20</f>
        <v>0</v>
      </c>
      <c r="L151" s="50">
        <f>'Manuele input'!L20</f>
        <v>0</v>
      </c>
      <c r="M151" s="50">
        <f>'Manuele input'!M20</f>
        <v>0</v>
      </c>
      <c r="N151" s="50">
        <f>'Manuele input'!N20</f>
        <v>0</v>
      </c>
      <c r="O151" s="50">
        <f>'Manuele input'!O20</f>
        <v>0</v>
      </c>
      <c r="P151" s="50">
        <f>'Manuele input'!P20</f>
        <v>0</v>
      </c>
      <c r="Q151" s="50">
        <f>'Manuele input'!Q20</f>
        <v>0</v>
      </c>
      <c r="R151" s="50">
        <f>'Manuele input'!R20</f>
        <v>0</v>
      </c>
      <c r="S151" s="50">
        <f>'Manuele input'!S20</f>
        <v>0</v>
      </c>
      <c r="T151" s="50">
        <f>'Manuele input'!T20</f>
        <v>0</v>
      </c>
      <c r="U151" s="50">
        <f>'Manuele input'!U20</f>
        <v>0</v>
      </c>
      <c r="V151" s="50">
        <f>'Manuele input'!V20</f>
        <v>0</v>
      </c>
      <c r="W151" s="50">
        <f>'Manuele input'!W20</f>
        <v>0</v>
      </c>
      <c r="X151" s="50">
        <f>'Manuele input'!X20</f>
        <v>0</v>
      </c>
      <c r="Y151" s="50">
        <f>'Manuele input'!Y20</f>
        <v>0</v>
      </c>
      <c r="Z151" s="50">
        <f>'Manuele input'!Z20</f>
        <v>0</v>
      </c>
      <c r="AA151" s="50">
        <f>'Manuele input'!AA20</f>
        <v>0</v>
      </c>
      <c r="AB151" s="50">
        <f>'Manuele input'!AB20</f>
        <v>0</v>
      </c>
      <c r="AC151" s="50">
        <f>'Manuele input'!AC20</f>
        <v>0</v>
      </c>
      <c r="AD151" s="50">
        <f>'Manuele input'!AD20</f>
        <v>0</v>
      </c>
      <c r="AE151" s="50">
        <f>'Manuele input'!AE20</f>
        <v>0</v>
      </c>
      <c r="AF151" s="50">
        <f>'Manuele input'!AF20</f>
        <v>0</v>
      </c>
      <c r="AG151" s="50">
        <f>'Manuele input'!AG20</f>
        <v>0</v>
      </c>
      <c r="AH151" s="50">
        <f>'Manuele input'!AH20</f>
        <v>0</v>
      </c>
      <c r="AI151" s="60"/>
      <c r="AJ151" s="60"/>
      <c r="AK151" s="60"/>
    </row>
    <row r="152" spans="1:37" ht="18" x14ac:dyDescent="0.4">
      <c r="A152" s="11" t="s">
        <v>84</v>
      </c>
      <c r="B152" s="11"/>
      <c r="C152" s="11"/>
      <c r="D152" s="223" t="s">
        <v>167</v>
      </c>
      <c r="E152" s="35">
        <f>'Manuele input'!E21/5/1000</f>
        <v>0</v>
      </c>
      <c r="F152" s="35">
        <f>'Manuele input'!F21/5/1000</f>
        <v>0</v>
      </c>
      <c r="G152" s="35">
        <f>'Manuele input'!G21/5/1000</f>
        <v>0</v>
      </c>
      <c r="H152" s="35">
        <f>'Manuele input'!H21/5/1000</f>
        <v>0</v>
      </c>
      <c r="I152" s="35">
        <f>'Manuele input'!I21/5/1000</f>
        <v>0</v>
      </c>
      <c r="J152" s="35">
        <f>'Manuele input'!J21/5/1000</f>
        <v>0</v>
      </c>
      <c r="K152" s="35">
        <f>'Manuele input'!K21/5/1000</f>
        <v>0</v>
      </c>
      <c r="L152" s="35">
        <f>'Manuele input'!L21/5/1000</f>
        <v>0</v>
      </c>
      <c r="M152" s="35">
        <f>'Manuele input'!M21/5/1000</f>
        <v>0</v>
      </c>
      <c r="N152" s="35">
        <f>'Manuele input'!N21/5/1000</f>
        <v>0</v>
      </c>
      <c r="O152" s="35">
        <f>'Manuele input'!O21/5/1000</f>
        <v>0</v>
      </c>
      <c r="P152" s="35">
        <f>'Manuele input'!P21/5/1000</f>
        <v>0</v>
      </c>
      <c r="Q152" s="35">
        <f>'Manuele input'!Q21/5/1000</f>
        <v>0</v>
      </c>
      <c r="R152" s="35">
        <f>'Manuele input'!R21/5/1000</f>
        <v>0</v>
      </c>
      <c r="S152" s="35">
        <f>'Manuele input'!S21/5/1000</f>
        <v>0</v>
      </c>
      <c r="T152" s="35">
        <f>'Manuele input'!T21/5/1000</f>
        <v>0</v>
      </c>
      <c r="U152" s="35">
        <f>'Manuele input'!U21/5/1000</f>
        <v>0</v>
      </c>
      <c r="V152" s="35">
        <f>'Manuele input'!V21/5/1000</f>
        <v>0</v>
      </c>
      <c r="W152" s="35">
        <f>'Manuele input'!W21/5/1000</f>
        <v>0</v>
      </c>
      <c r="X152" s="35">
        <f>'Manuele input'!X21/5/1000</f>
        <v>0</v>
      </c>
      <c r="Y152" s="35">
        <f>'Manuele input'!Y21/5/1000</f>
        <v>0</v>
      </c>
      <c r="Z152" s="35">
        <f>'Manuele input'!Z21/5/1000</f>
        <v>0</v>
      </c>
      <c r="AA152" s="35">
        <f>'Manuele input'!AA21/5/1000</f>
        <v>0</v>
      </c>
      <c r="AB152" s="35">
        <f>'Manuele input'!AB21/5/1000</f>
        <v>0</v>
      </c>
      <c r="AC152" s="35">
        <f>'Manuele input'!AC21/5/1000</f>
        <v>0</v>
      </c>
      <c r="AD152" s="35">
        <f>'Manuele input'!AD21/5/1000</f>
        <v>0</v>
      </c>
      <c r="AE152" s="35">
        <f>'Manuele input'!AE21/5/1000</f>
        <v>0</v>
      </c>
      <c r="AF152" s="35">
        <f>'Manuele input'!AF21/5/1000</f>
        <v>0</v>
      </c>
      <c r="AG152" s="35">
        <f>'Manuele input'!AG21/5/1000</f>
        <v>0</v>
      </c>
      <c r="AH152" s="35">
        <f>'Manuele input'!AH21/5/1000</f>
        <v>0</v>
      </c>
      <c r="AI152" s="60"/>
      <c r="AJ152" s="60"/>
      <c r="AK152" s="60"/>
    </row>
    <row r="153" spans="1:37" ht="18" x14ac:dyDescent="0.3">
      <c r="A153" s="11" t="s">
        <v>86</v>
      </c>
      <c r="B153" s="11"/>
      <c r="C153" s="11"/>
      <c r="D153" s="33" t="s">
        <v>62</v>
      </c>
      <c r="E153" s="35">
        <f>'Manuele input'!E22</f>
        <v>0</v>
      </c>
      <c r="F153" s="35">
        <f>'Manuele input'!F22</f>
        <v>0</v>
      </c>
      <c r="G153" s="35">
        <f>'Manuele input'!G22</f>
        <v>0</v>
      </c>
      <c r="H153" s="35">
        <f>'Manuele input'!H22</f>
        <v>0</v>
      </c>
      <c r="I153" s="35">
        <f>'Manuele input'!I22</f>
        <v>0</v>
      </c>
      <c r="J153" s="35">
        <f>'Manuele input'!J22</f>
        <v>0</v>
      </c>
      <c r="K153" s="35">
        <f>'Manuele input'!K22</f>
        <v>0</v>
      </c>
      <c r="L153" s="35">
        <f>'Manuele input'!L22</f>
        <v>0</v>
      </c>
      <c r="M153" s="35">
        <f>'Manuele input'!M22</f>
        <v>0</v>
      </c>
      <c r="N153" s="35">
        <f>'Manuele input'!N22</f>
        <v>0</v>
      </c>
      <c r="O153" s="35">
        <f>'Manuele input'!O22</f>
        <v>0</v>
      </c>
      <c r="P153" s="35">
        <f>'Manuele input'!P22</f>
        <v>0</v>
      </c>
      <c r="Q153" s="35">
        <f>'Manuele input'!Q22</f>
        <v>0</v>
      </c>
      <c r="R153" s="35">
        <f>'Manuele input'!R22</f>
        <v>0</v>
      </c>
      <c r="S153" s="35">
        <f>'Manuele input'!S22</f>
        <v>0</v>
      </c>
      <c r="T153" s="35">
        <f>'Manuele input'!T22</f>
        <v>0</v>
      </c>
      <c r="U153" s="35">
        <f>'Manuele input'!U22</f>
        <v>0</v>
      </c>
      <c r="V153" s="35">
        <f>'Manuele input'!V22</f>
        <v>0</v>
      </c>
      <c r="W153" s="35">
        <f>'Manuele input'!W22</f>
        <v>0</v>
      </c>
      <c r="X153" s="35">
        <f>'Manuele input'!X22</f>
        <v>0</v>
      </c>
      <c r="Y153" s="35">
        <f>'Manuele input'!Y22</f>
        <v>0</v>
      </c>
      <c r="Z153" s="35">
        <f>'Manuele input'!Z22</f>
        <v>0</v>
      </c>
      <c r="AA153" s="35">
        <f>'Manuele input'!AA22</f>
        <v>0</v>
      </c>
      <c r="AB153" s="35">
        <f>'Manuele input'!AB22</f>
        <v>0</v>
      </c>
      <c r="AC153" s="35">
        <f>'Manuele input'!AC22</f>
        <v>0</v>
      </c>
      <c r="AD153" s="35">
        <f>'Manuele input'!AD22</f>
        <v>0</v>
      </c>
      <c r="AE153" s="35">
        <f>'Manuele input'!AE22</f>
        <v>0</v>
      </c>
      <c r="AF153" s="35">
        <f>'Manuele input'!AF22</f>
        <v>0</v>
      </c>
      <c r="AG153" s="35">
        <f>'Manuele input'!AG22</f>
        <v>0</v>
      </c>
      <c r="AH153" s="35">
        <f>'Manuele input'!AH22</f>
        <v>0</v>
      </c>
      <c r="AI153" s="60"/>
      <c r="AJ153" s="60"/>
      <c r="AK153" s="60"/>
    </row>
    <row r="154" spans="1:37" ht="15.6" x14ac:dyDescent="0.3">
      <c r="A154" s="11" t="s">
        <v>87</v>
      </c>
      <c r="B154" s="11"/>
      <c r="C154" s="33"/>
      <c r="D154" s="33" t="s">
        <v>88</v>
      </c>
      <c r="E154" s="361">
        <f>'Manuele input'!E23</f>
        <v>0</v>
      </c>
      <c r="F154" s="361">
        <f>'Manuele input'!F23</f>
        <v>0</v>
      </c>
      <c r="G154" s="361">
        <f>'Manuele input'!G23</f>
        <v>0</v>
      </c>
      <c r="H154" s="361">
        <f>'Manuele input'!H23</f>
        <v>0</v>
      </c>
      <c r="I154" s="361">
        <f>'Manuele input'!I23</f>
        <v>0</v>
      </c>
      <c r="J154" s="361">
        <f>'Manuele input'!J23</f>
        <v>0</v>
      </c>
      <c r="K154" s="361">
        <f>'Manuele input'!K23</f>
        <v>0</v>
      </c>
      <c r="L154" s="361">
        <f>'Manuele input'!L23</f>
        <v>0</v>
      </c>
      <c r="M154" s="361">
        <f>'Manuele input'!M23</f>
        <v>0</v>
      </c>
      <c r="N154" s="361">
        <f>'Manuele input'!N23</f>
        <v>0</v>
      </c>
      <c r="O154" s="361">
        <f>'Manuele input'!O23</f>
        <v>0</v>
      </c>
      <c r="P154" s="361">
        <f>'Manuele input'!P23</f>
        <v>0</v>
      </c>
      <c r="Q154" s="361">
        <f>'Manuele input'!Q23</f>
        <v>0</v>
      </c>
      <c r="R154" s="361">
        <f>'Manuele input'!R23</f>
        <v>0</v>
      </c>
      <c r="S154" s="361">
        <f>'Manuele input'!S23</f>
        <v>0</v>
      </c>
      <c r="T154" s="361">
        <f>'Manuele input'!T23</f>
        <v>0</v>
      </c>
      <c r="U154" s="361">
        <f>'Manuele input'!U23</f>
        <v>0</v>
      </c>
      <c r="V154" s="361">
        <f>'Manuele input'!V23</f>
        <v>0</v>
      </c>
      <c r="W154" s="361">
        <f>'Manuele input'!W23</f>
        <v>0</v>
      </c>
      <c r="X154" s="361">
        <f>'Manuele input'!X23</f>
        <v>0</v>
      </c>
      <c r="Y154" s="361">
        <f>'Manuele input'!Y23</f>
        <v>0</v>
      </c>
      <c r="Z154" s="361">
        <f>'Manuele input'!Z23</f>
        <v>0</v>
      </c>
      <c r="AA154" s="361">
        <f>'Manuele input'!AA23</f>
        <v>0</v>
      </c>
      <c r="AB154" s="361">
        <f>'Manuele input'!AB23</f>
        <v>0</v>
      </c>
      <c r="AC154" s="361">
        <f>'Manuele input'!AC23</f>
        <v>0</v>
      </c>
      <c r="AD154" s="361">
        <f>'Manuele input'!AD23</f>
        <v>0</v>
      </c>
      <c r="AE154" s="361">
        <f>'Manuele input'!AE23</f>
        <v>0</v>
      </c>
      <c r="AF154" s="361">
        <f>'Manuele input'!AF23</f>
        <v>0</v>
      </c>
      <c r="AG154" s="361">
        <f>'Manuele input'!AG23</f>
        <v>0</v>
      </c>
      <c r="AH154" s="361">
        <f>'Manuele input'!AH23</f>
        <v>0</v>
      </c>
      <c r="AI154" s="60"/>
      <c r="AJ154" s="60"/>
      <c r="AK154" s="60"/>
    </row>
    <row r="155" spans="1:37" ht="15" thickBot="1" x14ac:dyDescent="0.35">
      <c r="A155" s="222"/>
      <c r="B155" s="222"/>
      <c r="C155" s="222"/>
      <c r="D155" s="222"/>
      <c r="E155" s="342"/>
      <c r="F155" s="342"/>
      <c r="G155" s="342"/>
      <c r="H155" s="342"/>
      <c r="I155" s="342"/>
      <c r="J155" s="342"/>
      <c r="K155" s="342"/>
      <c r="L155" s="342"/>
      <c r="M155" s="342"/>
      <c r="N155" s="342"/>
      <c r="O155" s="342"/>
      <c r="P155" s="342"/>
      <c r="Q155" s="342"/>
      <c r="R155" s="342"/>
      <c r="S155" s="342"/>
      <c r="T155" s="342"/>
      <c r="U155" s="342"/>
      <c r="V155" s="342"/>
      <c r="W155" s="342"/>
      <c r="X155" s="342"/>
      <c r="Y155" s="342"/>
      <c r="Z155" s="342"/>
      <c r="AA155" s="342"/>
      <c r="AB155" s="342"/>
      <c r="AC155" s="342"/>
      <c r="AD155" s="342"/>
      <c r="AE155" s="342"/>
      <c r="AF155" s="342"/>
      <c r="AG155" s="342"/>
      <c r="AH155" s="342"/>
      <c r="AI155" s="222"/>
      <c r="AJ155" s="60"/>
      <c r="AK155" s="60"/>
    </row>
    <row r="156" spans="1:37" x14ac:dyDescent="0.3">
      <c r="A156" s="60"/>
      <c r="B156" s="60"/>
      <c r="C156" s="60"/>
      <c r="D156" s="60"/>
      <c r="E156" s="341"/>
      <c r="F156" s="341"/>
      <c r="G156" s="341"/>
      <c r="H156" s="341"/>
      <c r="I156" s="341"/>
      <c r="J156" s="341"/>
      <c r="K156" s="341"/>
      <c r="L156" s="341"/>
      <c r="M156" s="341"/>
      <c r="N156" s="341"/>
      <c r="O156" s="341"/>
      <c r="P156" s="341"/>
      <c r="Q156" s="341"/>
      <c r="R156" s="341"/>
      <c r="S156" s="341"/>
      <c r="T156" s="341"/>
      <c r="U156" s="341"/>
      <c r="V156" s="341"/>
      <c r="W156" s="341"/>
      <c r="X156" s="341"/>
      <c r="Y156" s="341"/>
      <c r="Z156" s="341"/>
      <c r="AA156" s="341"/>
      <c r="AB156" s="341"/>
      <c r="AC156" s="341"/>
      <c r="AD156" s="341"/>
      <c r="AE156" s="341"/>
      <c r="AF156" s="341"/>
      <c r="AG156" s="341"/>
      <c r="AH156" s="341"/>
      <c r="AI156" s="60"/>
      <c r="AJ156" s="60"/>
      <c r="AK156" s="60"/>
    </row>
    <row r="157" spans="1:37" ht="21" x14ac:dyDescent="0.4">
      <c r="A157" s="221" t="str">
        <f>'Dropdown lists'!H10</f>
        <v>EXTRA</v>
      </c>
      <c r="B157" s="66"/>
      <c r="C157" s="11"/>
      <c r="D157" s="11"/>
      <c r="E157" s="341"/>
      <c r="F157" s="341"/>
      <c r="G157" s="341"/>
      <c r="H157" s="341"/>
      <c r="I157" s="341"/>
      <c r="J157" s="341"/>
      <c r="K157" s="341"/>
      <c r="L157" s="341"/>
      <c r="M157" s="341"/>
      <c r="N157" s="341"/>
      <c r="O157" s="341"/>
      <c r="P157" s="341"/>
      <c r="Q157" s="341"/>
      <c r="R157" s="341"/>
      <c r="S157" s="341"/>
      <c r="T157" s="341"/>
      <c r="U157" s="341"/>
      <c r="V157" s="341"/>
      <c r="W157" s="341"/>
      <c r="X157" s="341"/>
      <c r="Y157" s="341"/>
      <c r="Z157" s="341"/>
      <c r="AA157" s="341"/>
      <c r="AB157" s="341"/>
      <c r="AC157" s="341"/>
      <c r="AD157" s="341"/>
      <c r="AE157" s="341"/>
      <c r="AF157" s="341"/>
      <c r="AG157" s="341"/>
      <c r="AH157" s="341"/>
      <c r="AI157" s="60"/>
      <c r="AJ157" s="60"/>
      <c r="AK157" s="60"/>
    </row>
    <row r="158" spans="1:37" ht="15.6" x14ac:dyDescent="0.3">
      <c r="A158" s="11"/>
      <c r="B158" s="11"/>
      <c r="C158" s="11"/>
      <c r="D158" s="11"/>
      <c r="E158" s="341">
        <v>2025</v>
      </c>
      <c r="F158" s="341">
        <v>2026</v>
      </c>
      <c r="G158" s="341">
        <v>2027</v>
      </c>
      <c r="H158" s="341">
        <v>2028</v>
      </c>
      <c r="I158" s="341">
        <v>2029</v>
      </c>
      <c r="J158" s="341">
        <v>2030</v>
      </c>
      <c r="K158" s="341">
        <v>2031</v>
      </c>
      <c r="L158" s="341">
        <v>2032</v>
      </c>
      <c r="M158" s="341">
        <v>2033</v>
      </c>
      <c r="N158" s="341">
        <v>2034</v>
      </c>
      <c r="O158" s="341">
        <v>2035</v>
      </c>
      <c r="P158" s="341">
        <v>2036</v>
      </c>
      <c r="Q158" s="341">
        <v>2037</v>
      </c>
      <c r="R158" s="341">
        <v>2038</v>
      </c>
      <c r="S158" s="341">
        <v>2039</v>
      </c>
      <c r="T158" s="341">
        <v>2040</v>
      </c>
      <c r="U158" s="341">
        <v>2041</v>
      </c>
      <c r="V158" s="341">
        <v>2042</v>
      </c>
      <c r="W158" s="341">
        <v>2043</v>
      </c>
      <c r="X158" s="341">
        <v>2044</v>
      </c>
      <c r="Y158" s="341">
        <v>2045</v>
      </c>
      <c r="Z158" s="341">
        <v>2046</v>
      </c>
      <c r="AA158" s="341">
        <v>2047</v>
      </c>
      <c r="AB158" s="341">
        <v>2048</v>
      </c>
      <c r="AC158" s="341">
        <v>2049</v>
      </c>
      <c r="AD158" s="341">
        <v>2050</v>
      </c>
      <c r="AE158" s="341">
        <v>2051</v>
      </c>
      <c r="AF158" s="341">
        <v>2052</v>
      </c>
      <c r="AG158" s="341">
        <v>2053</v>
      </c>
      <c r="AH158" s="341">
        <v>2054</v>
      </c>
      <c r="AI158" s="60"/>
      <c r="AJ158" s="60"/>
      <c r="AK158" s="60"/>
    </row>
    <row r="159" spans="1:37" ht="15.6" x14ac:dyDescent="0.3">
      <c r="A159" s="66" t="s">
        <v>80</v>
      </c>
      <c r="B159" s="11"/>
      <c r="C159" s="58"/>
      <c r="D159" s="58" t="s">
        <v>81</v>
      </c>
      <c r="E159" s="58">
        <v>1</v>
      </c>
      <c r="F159" s="58">
        <v>2</v>
      </c>
      <c r="G159" s="58">
        <v>3</v>
      </c>
      <c r="H159" s="58">
        <v>4</v>
      </c>
      <c r="I159" s="58">
        <v>5</v>
      </c>
      <c r="J159" s="58">
        <v>6</v>
      </c>
      <c r="K159" s="58">
        <v>7</v>
      </c>
      <c r="L159" s="58">
        <v>8</v>
      </c>
      <c r="M159" s="58">
        <v>9</v>
      </c>
      <c r="N159" s="58">
        <v>10</v>
      </c>
      <c r="O159" s="58">
        <v>11</v>
      </c>
      <c r="P159" s="58">
        <v>12</v>
      </c>
      <c r="Q159" s="58">
        <v>13</v>
      </c>
      <c r="R159" s="58">
        <v>14</v>
      </c>
      <c r="S159" s="58">
        <v>15</v>
      </c>
      <c r="T159" s="58">
        <v>16</v>
      </c>
      <c r="U159" s="58">
        <v>17</v>
      </c>
      <c r="V159" s="58">
        <v>18</v>
      </c>
      <c r="W159" s="58">
        <v>19</v>
      </c>
      <c r="X159" s="58">
        <v>20</v>
      </c>
      <c r="Y159" s="58">
        <v>21</v>
      </c>
      <c r="Z159" s="58">
        <v>22</v>
      </c>
      <c r="AA159" s="58">
        <v>23</v>
      </c>
      <c r="AB159" s="58">
        <v>24</v>
      </c>
      <c r="AC159" s="58">
        <v>25</v>
      </c>
      <c r="AD159" s="58">
        <v>26</v>
      </c>
      <c r="AE159" s="58">
        <v>27</v>
      </c>
      <c r="AF159" s="58">
        <v>28</v>
      </c>
      <c r="AG159" s="58">
        <v>29</v>
      </c>
      <c r="AH159" s="58">
        <v>30</v>
      </c>
      <c r="AI159" s="60"/>
      <c r="AJ159" s="60"/>
      <c r="AK159" s="60"/>
    </row>
    <row r="160" spans="1:37" ht="18" x14ac:dyDescent="0.3">
      <c r="A160" s="11" t="s">
        <v>82</v>
      </c>
      <c r="B160" s="11"/>
      <c r="C160" s="33"/>
      <c r="D160" s="33" t="s">
        <v>90</v>
      </c>
      <c r="E160" s="50">
        <f>'Achtergrond verbruiksprofielen'!$C$94</f>
        <v>3.2000000000000001E-2</v>
      </c>
      <c r="F160" s="50">
        <f>'Achtergrond verbruiksprofielen'!$C$94</f>
        <v>3.2000000000000001E-2</v>
      </c>
      <c r="G160" s="50">
        <f>'Achtergrond verbruiksprofielen'!$C$94</f>
        <v>3.2000000000000001E-2</v>
      </c>
      <c r="H160" s="50">
        <f>'Achtergrond verbruiksprofielen'!$C$94</f>
        <v>3.2000000000000001E-2</v>
      </c>
      <c r="I160" s="50">
        <f>'Achtergrond verbruiksprofielen'!$C$94</f>
        <v>3.2000000000000001E-2</v>
      </c>
      <c r="J160" s="50">
        <f>'Achtergrond verbruiksprofielen'!$C$94</f>
        <v>3.2000000000000001E-2</v>
      </c>
      <c r="K160" s="50">
        <f>'Achtergrond verbruiksprofielen'!$C$94</f>
        <v>3.2000000000000001E-2</v>
      </c>
      <c r="L160" s="50">
        <f>'Achtergrond verbruiksprofielen'!$C$94</f>
        <v>3.2000000000000001E-2</v>
      </c>
      <c r="M160" s="50">
        <f>'Achtergrond verbruiksprofielen'!$C$94</f>
        <v>3.2000000000000001E-2</v>
      </c>
      <c r="N160" s="50">
        <f>'Achtergrond verbruiksprofielen'!$C$94</f>
        <v>3.2000000000000001E-2</v>
      </c>
      <c r="O160" s="50">
        <f>'Achtergrond verbruiksprofielen'!$C$94</f>
        <v>3.2000000000000001E-2</v>
      </c>
      <c r="P160" s="50">
        <f>'Achtergrond verbruiksprofielen'!$C$94</f>
        <v>3.2000000000000001E-2</v>
      </c>
      <c r="Q160" s="50">
        <f>'Achtergrond verbruiksprofielen'!$C$94</f>
        <v>3.2000000000000001E-2</v>
      </c>
      <c r="R160" s="50">
        <f>'Achtergrond verbruiksprofielen'!$C$94</f>
        <v>3.2000000000000001E-2</v>
      </c>
      <c r="S160" s="50">
        <f>'Achtergrond verbruiksprofielen'!$C$94</f>
        <v>3.2000000000000001E-2</v>
      </c>
      <c r="T160" s="50">
        <f>'Achtergrond verbruiksprofielen'!$C$94</f>
        <v>3.2000000000000001E-2</v>
      </c>
      <c r="U160" s="50">
        <f>'Achtergrond verbruiksprofielen'!$C$94</f>
        <v>3.2000000000000001E-2</v>
      </c>
      <c r="V160" s="50">
        <f>'Achtergrond verbruiksprofielen'!$C$94</f>
        <v>3.2000000000000001E-2</v>
      </c>
      <c r="W160" s="50">
        <f>'Achtergrond verbruiksprofielen'!$C$94</f>
        <v>3.2000000000000001E-2</v>
      </c>
      <c r="X160" s="50">
        <f>'Achtergrond verbruiksprofielen'!$C$94</f>
        <v>3.2000000000000001E-2</v>
      </c>
      <c r="Y160" s="50">
        <f>'Achtergrond verbruiksprofielen'!$C$94</f>
        <v>3.2000000000000001E-2</v>
      </c>
      <c r="Z160" s="50">
        <f>'Achtergrond verbruiksprofielen'!$C$94</f>
        <v>3.2000000000000001E-2</v>
      </c>
      <c r="AA160" s="50">
        <f>'Achtergrond verbruiksprofielen'!$C$94</f>
        <v>3.2000000000000001E-2</v>
      </c>
      <c r="AB160" s="50">
        <f>'Achtergrond verbruiksprofielen'!$C$94</f>
        <v>3.2000000000000001E-2</v>
      </c>
      <c r="AC160" s="50">
        <f>'Achtergrond verbruiksprofielen'!$C$94</f>
        <v>3.2000000000000001E-2</v>
      </c>
      <c r="AD160" s="50">
        <f>'Achtergrond verbruiksprofielen'!$C$94</f>
        <v>3.2000000000000001E-2</v>
      </c>
      <c r="AE160" s="50">
        <f>'Achtergrond verbruiksprofielen'!$C$94</f>
        <v>3.2000000000000001E-2</v>
      </c>
      <c r="AF160" s="50">
        <f>'Achtergrond verbruiksprofielen'!$C$94</f>
        <v>3.2000000000000001E-2</v>
      </c>
      <c r="AG160" s="50">
        <f>'Achtergrond verbruiksprofielen'!$C$94</f>
        <v>3.2000000000000001E-2</v>
      </c>
      <c r="AH160" s="50">
        <f>'Achtergrond verbruiksprofielen'!$C$94</f>
        <v>3.2000000000000001E-2</v>
      </c>
      <c r="AI160" s="60"/>
      <c r="AJ160" s="60"/>
      <c r="AK160" s="60"/>
    </row>
    <row r="161" spans="1:37" ht="18" x14ac:dyDescent="0.4">
      <c r="A161" s="11" t="s">
        <v>178</v>
      </c>
      <c r="B161" s="11"/>
      <c r="C161" s="33"/>
      <c r="D161" s="223" t="s">
        <v>167</v>
      </c>
      <c r="E161" s="35">
        <v>0</v>
      </c>
      <c r="F161" s="35">
        <v>0</v>
      </c>
      <c r="G161" s="35">
        <v>0</v>
      </c>
      <c r="H161" s="35">
        <f>_xlfn.FORECAST.LINEAR(H$6,'Achtergrond verbruiksprofielen'!$C$10:$D$10,'Achtergrond verbruiksprofielen'!$C$8:$D$8)</f>
        <v>1.3999999999999346E-2</v>
      </c>
      <c r="I161" s="35">
        <f>_xlfn.FORECAST.LINEAR(I$6,'Achtergrond verbruiksprofielen'!$C$10:$D$10,'Achtergrond verbruiksprofielen'!$C$8:$D$8)</f>
        <v>1.7833333333332924E-2</v>
      </c>
      <c r="J161" s="35">
        <f>_xlfn.FORECAST.LINEAR(J$6,'Achtergrond verbruiksprofielen'!$C$10:$D$10,'Achtergrond verbruiksprofielen'!$C$8:$D$8)</f>
        <v>2.1666666666666501E-2</v>
      </c>
      <c r="K161" s="35">
        <f>_xlfn.FORECAST.LINEAR(K$6,'Achtergrond verbruiksprofielen'!$C$10:$D$10,'Achtergrond verbruiksprofielen'!$C$8:$D$8)</f>
        <v>2.5500000000000078E-2</v>
      </c>
      <c r="L161" s="35">
        <f>_xlfn.FORECAST.LINEAR(L$6,'Achtergrond verbruiksprofielen'!$C$10:$D$10,'Achtergrond verbruiksprofielen'!$C$8:$D$8)</f>
        <v>2.9333333333332767E-2</v>
      </c>
      <c r="M161" s="35">
        <f>_xlfn.FORECAST.LINEAR(M$6,'Achtergrond verbruiksprofielen'!$C$10:$D$10,'Achtergrond verbruiksprofielen'!$C$8:$D$8)</f>
        <v>3.3166666666666345E-2</v>
      </c>
      <c r="N161" s="35">
        <f>_xlfn.FORECAST.LINEAR(N$6,'Achtergrond verbruiksprofielen'!$C$10:$D$10,'Achtergrond verbruiksprofielen'!$C$8:$D$8)</f>
        <v>3.6999999999999922E-2</v>
      </c>
      <c r="O161" s="35">
        <f>_xlfn.FORECAST.LINEAR(O$6,'Achtergrond verbruiksprofielen'!$C$10:$D$10,'Achtergrond verbruiksprofielen'!$C$8:$D$8)</f>
        <v>4.0833333333333499E-2</v>
      </c>
      <c r="P161" s="35">
        <f>_xlfn.FORECAST.LINEAR(P$6,'Achtergrond verbruiksprofielen'!$C$10:$D$10,'Achtergrond verbruiksprofielen'!$C$8:$D$8)</f>
        <v>4.4666666666666188E-2</v>
      </c>
      <c r="Q161" s="35">
        <f>_xlfn.FORECAST.LINEAR(Q$6,'Achtergrond verbruiksprofielen'!$C$10:$D$10,'Achtergrond verbruiksprofielen'!$C$8:$D$8)</f>
        <v>4.8499999999999766E-2</v>
      </c>
      <c r="R161" s="35">
        <f>_xlfn.FORECAST.LINEAR(R$6,'Achtergrond verbruiksprofielen'!$C$10:$D$10,'Achtergrond verbruiksprofielen'!$C$8:$D$8)</f>
        <v>5.2333333333333343E-2</v>
      </c>
      <c r="S161" s="35">
        <f>_xlfn.FORECAST.LINEAR(S$6,'Achtergrond verbruiksprofielen'!$C$10:$D$10,'Achtergrond verbruiksprofielen'!$C$8:$D$8)</f>
        <v>5.6166666666666032E-2</v>
      </c>
      <c r="T161" s="35">
        <f>_xlfn.FORECAST.LINEAR(T$6,'Achtergrond verbruiksprofielen'!$C$10:$D$10,'Achtergrond verbruiksprofielen'!$C$8:$D$8)</f>
        <v>5.9999999999999609E-2</v>
      </c>
      <c r="U161" s="35">
        <f>_xlfn.FORECAST.LINEAR(U$6,'Achtergrond verbruiksprofielen'!$C$10:$D$10,'Achtergrond verbruiksprofielen'!$C$8:$D$8)</f>
        <v>6.3833333333333186E-2</v>
      </c>
      <c r="V161" s="35">
        <f>_xlfn.FORECAST.LINEAR(V$6,'Achtergrond verbruiksprofielen'!$C$10:$D$10,'Achtergrond verbruiksprofielen'!$C$8:$D$8)</f>
        <v>6.7666666666666764E-2</v>
      </c>
      <c r="W161" s="35">
        <f>_xlfn.FORECAST.LINEAR(W$6,'Achtergrond verbruiksprofielen'!$C$10:$D$10,'Achtergrond verbruiksprofielen'!$C$8:$D$8)</f>
        <v>7.1499999999999453E-2</v>
      </c>
      <c r="X161" s="35">
        <f>_xlfn.FORECAST.LINEAR(X$6,'Achtergrond verbruiksprofielen'!$C$10:$D$10,'Achtergrond verbruiksprofielen'!$C$8:$D$8)</f>
        <v>7.533333333333303E-2</v>
      </c>
      <c r="Y161" s="35">
        <f>_xlfn.FORECAST.LINEAR(Y$6,'Achtergrond verbruiksprofielen'!$C$10:$D$10,'Achtergrond verbruiksprofielen'!$C$8:$D$8)</f>
        <v>7.9166666666666607E-2</v>
      </c>
      <c r="Z161" s="35">
        <f>_xlfn.FORECAST.LINEAR(Z$6,'Achtergrond verbruiksprofielen'!$C$10:$D$10,'Achtergrond verbruiksprofielen'!$C$8:$D$8)</f>
        <v>8.3000000000000185E-2</v>
      </c>
      <c r="AA161" s="35">
        <f>_xlfn.FORECAST.LINEAR(AA$6,'Achtergrond verbruiksprofielen'!$C$10:$D$10,'Achtergrond verbruiksprofielen'!$C$8:$D$8)</f>
        <v>8.6833333333332874E-2</v>
      </c>
      <c r="AB161" s="35">
        <f>_xlfn.FORECAST.LINEAR(AB$6,'Achtergrond verbruiksprofielen'!$C$10:$D$10,'Achtergrond verbruiksprofielen'!$C$8:$D$8)</f>
        <v>9.0666666666666451E-2</v>
      </c>
      <c r="AC161" s="35">
        <f>_xlfn.FORECAST.LINEAR(AC$6,'Achtergrond verbruiksprofielen'!$C$10:$D$10,'Achtergrond verbruiksprofielen'!$C$8:$D$8)</f>
        <v>9.4500000000000028E-2</v>
      </c>
      <c r="AD161" s="35">
        <f>'Achtergrond verbruiksprofielen'!$D$10</f>
        <v>0.06</v>
      </c>
      <c r="AE161" s="35">
        <f>'Achtergrond verbruiksprofielen'!$D$10</f>
        <v>0.06</v>
      </c>
      <c r="AF161" s="35">
        <f>'Achtergrond verbruiksprofielen'!$D$10</f>
        <v>0.06</v>
      </c>
      <c r="AG161" s="35">
        <f>'Achtergrond verbruiksprofielen'!$D$10</f>
        <v>0.06</v>
      </c>
      <c r="AH161" s="35">
        <f>'Achtergrond verbruiksprofielen'!$D$10</f>
        <v>0.06</v>
      </c>
      <c r="AI161" s="60"/>
      <c r="AJ161" s="60"/>
      <c r="AK161" s="60"/>
    </row>
    <row r="162" spans="1:37" ht="18" x14ac:dyDescent="0.3">
      <c r="A162" s="11" t="s">
        <v>86</v>
      </c>
      <c r="B162" s="11"/>
      <c r="C162" s="33"/>
      <c r="D162" s="33" t="s">
        <v>62</v>
      </c>
      <c r="E162" s="35">
        <f>'Achtergrond verbruiksprofielen'!$C$44</f>
        <v>0</v>
      </c>
      <c r="F162" s="35">
        <f>'Achtergrond verbruiksprofielen'!$C$44+(F158-'Achtergrond verbruiksprofielen'!$C$42)*('Achtergrond verbruiksprofielen'!$D$44-'Achtergrond verbruiksprofielen'!$C$44)/('Achtergrond verbruiksprofielen'!$D$42-'Achtergrond verbruiksprofielen'!$C$42)</f>
        <v>0</v>
      </c>
      <c r="G162" s="35">
        <f>'Achtergrond verbruiksprofielen'!$C$44+(G158-'Achtergrond verbruiksprofielen'!$C$42)*('Achtergrond verbruiksprofielen'!$D$44-'Achtergrond verbruiksprofielen'!$C$44)/('Achtergrond verbruiksprofielen'!$D$42-'Achtergrond verbruiksprofielen'!$C$42)</f>
        <v>0</v>
      </c>
      <c r="H162" s="35">
        <f>'Achtergrond verbruiksprofielen'!$C$44+(H158-'Achtergrond verbruiksprofielen'!$C$42)*('Achtergrond verbruiksprofielen'!$D$44-'Achtergrond verbruiksprofielen'!$C$44)/('Achtergrond verbruiksprofielen'!$D$42-'Achtergrond verbruiksprofielen'!$C$42)</f>
        <v>0</v>
      </c>
      <c r="I162" s="35">
        <f>'Achtergrond verbruiksprofielen'!$C$44+(I158-'Achtergrond verbruiksprofielen'!$C$42)*('Achtergrond verbruiksprofielen'!$D$44-'Achtergrond verbruiksprofielen'!$C$44)/('Achtergrond verbruiksprofielen'!$D$42-'Achtergrond verbruiksprofielen'!$C$42)</f>
        <v>0</v>
      </c>
      <c r="J162" s="35">
        <f>'Achtergrond verbruiksprofielen'!$D$44</f>
        <v>0</v>
      </c>
      <c r="K162" s="35">
        <f>'Achtergrond verbruiksprofielen'!$D$44+(K158-'Achtergrond verbruiksprofielen'!$D$42)*('Achtergrond verbruiksprofielen'!$E$44-'Achtergrond verbruiksprofielen'!$D$44)/('Achtergrond verbruiksprofielen'!$E$42-'Achtergrond verbruiksprofielen'!$D$42)</f>
        <v>0</v>
      </c>
      <c r="L162" s="35">
        <f>'Achtergrond verbruiksprofielen'!$D$44+(L158-'Achtergrond verbruiksprofielen'!$D$42)*('Achtergrond verbruiksprofielen'!$E$44-'Achtergrond verbruiksprofielen'!$D$44)/('Achtergrond verbruiksprofielen'!$E$42-'Achtergrond verbruiksprofielen'!$D$42)</f>
        <v>0</v>
      </c>
      <c r="M162" s="35">
        <f>'Achtergrond verbruiksprofielen'!$D$44+(M158-'Achtergrond verbruiksprofielen'!$D$42)*('Achtergrond verbruiksprofielen'!$E$44-'Achtergrond verbruiksprofielen'!$D$44)/('Achtergrond verbruiksprofielen'!$E$42-'Achtergrond verbruiksprofielen'!$D$42)</f>
        <v>0</v>
      </c>
      <c r="N162" s="35">
        <f>'Achtergrond verbruiksprofielen'!$D$44+(N158-'Achtergrond verbruiksprofielen'!$D$42)*('Achtergrond verbruiksprofielen'!$E$44-'Achtergrond verbruiksprofielen'!$D$44)/('Achtergrond verbruiksprofielen'!$E$42-'Achtergrond verbruiksprofielen'!$D$42)</f>
        <v>0</v>
      </c>
      <c r="O162" s="35">
        <f>'Achtergrond verbruiksprofielen'!$E$44</f>
        <v>0</v>
      </c>
      <c r="P162" s="35">
        <f>'Achtergrond verbruiksprofielen'!$E$44+(P158-'Achtergrond verbruiksprofielen'!$E$42)*('Achtergrond verbruiksprofielen'!$F$44-'Achtergrond verbruiksprofielen'!$E$44)/('Achtergrond verbruiksprofielen'!$F$42-'Achtergrond verbruiksprofielen'!$E$42)</f>
        <v>0</v>
      </c>
      <c r="Q162" s="35">
        <f>'Achtergrond verbruiksprofielen'!$E$44+(Q158-'Achtergrond verbruiksprofielen'!$E$42)*('Achtergrond verbruiksprofielen'!$F$44-'Achtergrond verbruiksprofielen'!$E$44)/('Achtergrond verbruiksprofielen'!$F$42-'Achtergrond verbruiksprofielen'!$E$42)</f>
        <v>0</v>
      </c>
      <c r="R162" s="35">
        <f>'Achtergrond verbruiksprofielen'!$E$44+(R158-'Achtergrond verbruiksprofielen'!$E$42)*('Achtergrond verbruiksprofielen'!$F$44-'Achtergrond verbruiksprofielen'!$E$44)/('Achtergrond verbruiksprofielen'!$F$42-'Achtergrond verbruiksprofielen'!$E$42)</f>
        <v>0</v>
      </c>
      <c r="S162" s="35">
        <f>'Achtergrond verbruiksprofielen'!$E$44+(S158-'Achtergrond verbruiksprofielen'!$E$42)*('Achtergrond verbruiksprofielen'!$F$44-'Achtergrond verbruiksprofielen'!$E$44)/('Achtergrond verbruiksprofielen'!$F$42-'Achtergrond verbruiksprofielen'!$E$42)</f>
        <v>0</v>
      </c>
      <c r="T162" s="35">
        <f>'Achtergrond verbruiksprofielen'!$F$44</f>
        <v>0</v>
      </c>
      <c r="U162" s="35">
        <f>'Achtergrond verbruiksprofielen'!$F$44+(U158-'Achtergrond verbruiksprofielen'!$F$42)*('Achtergrond verbruiksprofielen'!$G$44-'Achtergrond verbruiksprofielen'!$F$44)/('Achtergrond verbruiksprofielen'!$G$42-'Achtergrond verbruiksprofielen'!$F$42)</f>
        <v>0</v>
      </c>
      <c r="V162" s="35">
        <f>'Achtergrond verbruiksprofielen'!$F$44+(V158-'Achtergrond verbruiksprofielen'!$F$42)*('Achtergrond verbruiksprofielen'!$G$44-'Achtergrond verbruiksprofielen'!$F$44)/('Achtergrond verbruiksprofielen'!$G$42-'Achtergrond verbruiksprofielen'!$F$42)</f>
        <v>0</v>
      </c>
      <c r="W162" s="35">
        <f>'Achtergrond verbruiksprofielen'!$F$44+(W158-'Achtergrond verbruiksprofielen'!$F$42)*('Achtergrond verbruiksprofielen'!$G$44-'Achtergrond verbruiksprofielen'!$F$44)/('Achtergrond verbruiksprofielen'!$G$42-'Achtergrond verbruiksprofielen'!$F$42)</f>
        <v>0</v>
      </c>
      <c r="X162" s="35">
        <f>'Achtergrond verbruiksprofielen'!$F$44+(X158-'Achtergrond verbruiksprofielen'!$F$42)*('Achtergrond verbruiksprofielen'!$G$44-'Achtergrond verbruiksprofielen'!$F$44)/('Achtergrond verbruiksprofielen'!$G$42-'Achtergrond verbruiksprofielen'!$F$42)</f>
        <v>0</v>
      </c>
      <c r="Y162" s="35">
        <f>'Achtergrond verbruiksprofielen'!$G$44</f>
        <v>0</v>
      </c>
      <c r="Z162" s="35">
        <f>'Achtergrond verbruiksprofielen'!$G$44+(Z158-'Achtergrond verbruiksprofielen'!$G$42)*('Achtergrond verbruiksprofielen'!$H$44-'Achtergrond verbruiksprofielen'!$G$44)/('Achtergrond verbruiksprofielen'!$H$42-'Achtergrond verbruiksprofielen'!$G$42)</f>
        <v>0</v>
      </c>
      <c r="AA162" s="35">
        <f>'Achtergrond verbruiksprofielen'!$G$44+(AA158-'Achtergrond verbruiksprofielen'!$G$42)*('Achtergrond verbruiksprofielen'!$H$44-'Achtergrond verbruiksprofielen'!$G$44)/('Achtergrond verbruiksprofielen'!$H$42-'Achtergrond verbruiksprofielen'!$G$42)</f>
        <v>0</v>
      </c>
      <c r="AB162" s="35">
        <f>'Achtergrond verbruiksprofielen'!$G$44+(AB158-'Achtergrond verbruiksprofielen'!$G$42)*('Achtergrond verbruiksprofielen'!$H$44-'Achtergrond verbruiksprofielen'!$G$44)/('Achtergrond verbruiksprofielen'!$H$42-'Achtergrond verbruiksprofielen'!$G$42)</f>
        <v>0</v>
      </c>
      <c r="AC162" s="35">
        <f>'Achtergrond verbruiksprofielen'!$G$44+(AC158-'Achtergrond verbruiksprofielen'!$G$42)*('Achtergrond verbruiksprofielen'!$H$44-'Achtergrond verbruiksprofielen'!$G$44)/('Achtergrond verbruiksprofielen'!$H$42-'Achtergrond verbruiksprofielen'!$G$42)</f>
        <v>0</v>
      </c>
      <c r="AD162" s="35">
        <f>'Achtergrond verbruiksprofielen'!$H$44</f>
        <v>0</v>
      </c>
      <c r="AE162" s="35">
        <f>'Achtergrond verbruiksprofielen'!$H$44</f>
        <v>0</v>
      </c>
      <c r="AF162" s="35">
        <f>'Achtergrond verbruiksprofielen'!$H$44</f>
        <v>0</v>
      </c>
      <c r="AG162" s="35">
        <f>'Achtergrond verbruiksprofielen'!$H$44</f>
        <v>0</v>
      </c>
      <c r="AH162" s="35">
        <f>'Achtergrond verbruiksprofielen'!$H$44</f>
        <v>0</v>
      </c>
      <c r="AI162" s="60"/>
      <c r="AJ162" s="60"/>
      <c r="AK162" s="60"/>
    </row>
    <row r="163" spans="1:37" ht="15.6" x14ac:dyDescent="0.3">
      <c r="A163" s="11" t="s">
        <v>87</v>
      </c>
      <c r="B163" s="11"/>
      <c r="C163" s="33"/>
      <c r="D163" s="33" t="s">
        <v>88</v>
      </c>
      <c r="E163" s="361">
        <f>'Achtergrond verbruiksprofielen'!$C$45</f>
        <v>0</v>
      </c>
      <c r="F163" s="361">
        <f>'Achtergrond verbruiksprofielen'!$C$45+(F158-'Achtergrond verbruiksprofielen'!$C$42)*('Achtergrond verbruiksprofielen'!$D$45-'Achtergrond verbruiksprofielen'!$C$45)/('Achtergrond verbruiksprofielen'!$D$42-'Achtergrond verbruiksprofielen'!$C$42)</f>
        <v>0</v>
      </c>
      <c r="G163" s="361">
        <f>'Achtergrond verbruiksprofielen'!$C$45+(G158-'Achtergrond verbruiksprofielen'!$C$42)*('Achtergrond verbruiksprofielen'!$D$45-'Achtergrond verbruiksprofielen'!$C$45)/('Achtergrond verbruiksprofielen'!$D$42-'Achtergrond verbruiksprofielen'!$C$42)</f>
        <v>0</v>
      </c>
      <c r="H163" s="361">
        <f>'Achtergrond verbruiksprofielen'!$C$45+(H158-'Achtergrond verbruiksprofielen'!$C$42)*('Achtergrond verbruiksprofielen'!$D$45-'Achtergrond verbruiksprofielen'!$C$45)/('Achtergrond verbruiksprofielen'!$D$42-'Achtergrond verbruiksprofielen'!$C$42)</f>
        <v>0</v>
      </c>
      <c r="I163" s="361">
        <f>'Achtergrond verbruiksprofielen'!$C$45+(I158-'Achtergrond verbruiksprofielen'!$C$42)*('Achtergrond verbruiksprofielen'!$D$45-'Achtergrond verbruiksprofielen'!$C$45)/('Achtergrond verbruiksprofielen'!$D$42-'Achtergrond verbruiksprofielen'!$C$42)</f>
        <v>0</v>
      </c>
      <c r="J163" s="361">
        <f>'Achtergrond verbruiksprofielen'!$D$45</f>
        <v>0</v>
      </c>
      <c r="K163" s="361">
        <f>'Achtergrond verbruiksprofielen'!$D$45+(K158-'Achtergrond verbruiksprofielen'!$D$42)*('Achtergrond verbruiksprofielen'!$E$45-'Achtergrond verbruiksprofielen'!$D$45)/('Achtergrond verbruiksprofielen'!$E$42-'Achtergrond verbruiksprofielen'!$D$42)</f>
        <v>0</v>
      </c>
      <c r="L163" s="361">
        <f>'Achtergrond verbruiksprofielen'!$D$45+(L158-'Achtergrond verbruiksprofielen'!$D$42)*('Achtergrond verbruiksprofielen'!$E$45-'Achtergrond verbruiksprofielen'!$D$45)/('Achtergrond verbruiksprofielen'!$E$42-'Achtergrond verbruiksprofielen'!$D$42)</f>
        <v>0</v>
      </c>
      <c r="M163" s="361">
        <f>'Achtergrond verbruiksprofielen'!$D$45+(M158-'Achtergrond verbruiksprofielen'!$D$42)*('Achtergrond verbruiksprofielen'!$E$45-'Achtergrond verbruiksprofielen'!$D$45)/('Achtergrond verbruiksprofielen'!$E$42-'Achtergrond verbruiksprofielen'!$D$42)</f>
        <v>0</v>
      </c>
      <c r="N163" s="361">
        <f>'Achtergrond verbruiksprofielen'!$D$45+(N158-'Achtergrond verbruiksprofielen'!$D$42)*('Achtergrond verbruiksprofielen'!$E$45-'Achtergrond verbruiksprofielen'!$D$45)/('Achtergrond verbruiksprofielen'!$E$42-'Achtergrond verbruiksprofielen'!$D$42)</f>
        <v>0</v>
      </c>
      <c r="O163" s="361">
        <f>'Achtergrond verbruiksprofielen'!$E$45</f>
        <v>0</v>
      </c>
      <c r="P163" s="361">
        <f>'Achtergrond verbruiksprofielen'!$E$45+(P158-'Achtergrond verbruiksprofielen'!$E$42)*('Achtergrond verbruiksprofielen'!$F$45-'Achtergrond verbruiksprofielen'!$E$45)/('Achtergrond verbruiksprofielen'!$F$42-'Achtergrond verbruiksprofielen'!$E$42)</f>
        <v>0</v>
      </c>
      <c r="Q163" s="361">
        <f>'Achtergrond verbruiksprofielen'!$E$45+(Q158-'Achtergrond verbruiksprofielen'!$E$42)*('Achtergrond verbruiksprofielen'!$F$45-'Achtergrond verbruiksprofielen'!$E$45)/('Achtergrond verbruiksprofielen'!$F$42-'Achtergrond verbruiksprofielen'!$E$42)</f>
        <v>0</v>
      </c>
      <c r="R163" s="361">
        <f>'Achtergrond verbruiksprofielen'!$E$45+(R158-'Achtergrond verbruiksprofielen'!$E$42)*('Achtergrond verbruiksprofielen'!$F$45-'Achtergrond verbruiksprofielen'!$E$45)/('Achtergrond verbruiksprofielen'!$F$42-'Achtergrond verbruiksprofielen'!$E$42)</f>
        <v>0</v>
      </c>
      <c r="S163" s="361">
        <f>'Achtergrond verbruiksprofielen'!$E$45+(S158-'Achtergrond verbruiksprofielen'!$E$42)*('Achtergrond verbruiksprofielen'!$F$45-'Achtergrond verbruiksprofielen'!$E$45)/('Achtergrond verbruiksprofielen'!$F$42-'Achtergrond verbruiksprofielen'!$E$42)</f>
        <v>0</v>
      </c>
      <c r="T163" s="361">
        <f>'Achtergrond verbruiksprofielen'!$F$45</f>
        <v>0</v>
      </c>
      <c r="U163" s="361">
        <f>'Achtergrond verbruiksprofielen'!$F$45+(U158-'Achtergrond verbruiksprofielen'!$F$42)*('Achtergrond verbruiksprofielen'!$G$45-'Achtergrond verbruiksprofielen'!$F$45)/('Achtergrond verbruiksprofielen'!$G$42-'Achtergrond verbruiksprofielen'!$F$42)</f>
        <v>0</v>
      </c>
      <c r="V163" s="361">
        <f>'Achtergrond verbruiksprofielen'!$F$45+(V158-'Achtergrond verbruiksprofielen'!$F$42)*('Achtergrond verbruiksprofielen'!$G$45-'Achtergrond verbruiksprofielen'!$F$45)/('Achtergrond verbruiksprofielen'!$G$42-'Achtergrond verbruiksprofielen'!$F$42)</f>
        <v>0</v>
      </c>
      <c r="W163" s="361">
        <f>'Achtergrond verbruiksprofielen'!$F$45+(W158-'Achtergrond verbruiksprofielen'!$F$42)*('Achtergrond verbruiksprofielen'!$G$45-'Achtergrond verbruiksprofielen'!$F$45)/('Achtergrond verbruiksprofielen'!$G$42-'Achtergrond verbruiksprofielen'!$F$42)</f>
        <v>0</v>
      </c>
      <c r="X163" s="361">
        <f>'Achtergrond verbruiksprofielen'!$F$45+(X158-'Achtergrond verbruiksprofielen'!$F$42)*('Achtergrond verbruiksprofielen'!$G$45-'Achtergrond verbruiksprofielen'!$F$45)/('Achtergrond verbruiksprofielen'!$G$42-'Achtergrond verbruiksprofielen'!$F$42)</f>
        <v>0</v>
      </c>
      <c r="Y163" s="361">
        <f>'Achtergrond verbruiksprofielen'!$G$45</f>
        <v>0</v>
      </c>
      <c r="Z163" s="361">
        <f>'Achtergrond verbruiksprofielen'!$G$45+(Z158-'Achtergrond verbruiksprofielen'!$G$42)*('Achtergrond verbruiksprofielen'!$H$45-'Achtergrond verbruiksprofielen'!$G$45)/('Achtergrond verbruiksprofielen'!$H$42-'Achtergrond verbruiksprofielen'!$G$42)</f>
        <v>0</v>
      </c>
      <c r="AA163" s="361">
        <f>'Achtergrond verbruiksprofielen'!$G$45+(AA158-'Achtergrond verbruiksprofielen'!$G$42)*('Achtergrond verbruiksprofielen'!$H$45-'Achtergrond verbruiksprofielen'!$G$45)/('Achtergrond verbruiksprofielen'!$H$42-'Achtergrond verbruiksprofielen'!$G$42)</f>
        <v>0</v>
      </c>
      <c r="AB163" s="361">
        <f>'Achtergrond verbruiksprofielen'!$G$45+(AB158-'Achtergrond verbruiksprofielen'!$G$42)*('Achtergrond verbruiksprofielen'!$H$45-'Achtergrond verbruiksprofielen'!$G$45)/('Achtergrond verbruiksprofielen'!$H$42-'Achtergrond verbruiksprofielen'!$G$42)</f>
        <v>0</v>
      </c>
      <c r="AC163" s="361">
        <f>'Achtergrond verbruiksprofielen'!$G$45+(AC158-'Achtergrond verbruiksprofielen'!$G$42)*('Achtergrond verbruiksprofielen'!$H$45-'Achtergrond verbruiksprofielen'!$G$45)/('Achtergrond verbruiksprofielen'!$H$42-'Achtergrond verbruiksprofielen'!$G$42)</f>
        <v>0</v>
      </c>
      <c r="AD163" s="361">
        <f>'Achtergrond verbruiksprofielen'!$H$45</f>
        <v>0</v>
      </c>
      <c r="AE163" s="361">
        <f>'Achtergrond verbruiksprofielen'!$H$45</f>
        <v>0</v>
      </c>
      <c r="AF163" s="361">
        <f>'Achtergrond verbruiksprofielen'!$H$45</f>
        <v>0</v>
      </c>
      <c r="AG163" s="361">
        <f>'Achtergrond verbruiksprofielen'!$H$45</f>
        <v>0</v>
      </c>
      <c r="AH163" s="361">
        <f>'Achtergrond verbruiksprofielen'!$H$45</f>
        <v>0</v>
      </c>
      <c r="AI163" s="60"/>
      <c r="AJ163" s="60"/>
      <c r="AK163" s="60"/>
    </row>
    <row r="164" spans="1:37" ht="15.6" x14ac:dyDescent="0.3">
      <c r="A164" s="11"/>
      <c r="B164" s="11"/>
      <c r="C164" s="11"/>
      <c r="D164" s="11"/>
      <c r="E164" s="341"/>
      <c r="F164" s="341"/>
      <c r="G164" s="341"/>
      <c r="H164" s="341"/>
      <c r="I164" s="341"/>
      <c r="J164" s="341"/>
      <c r="K164" s="341"/>
      <c r="L164" s="341"/>
      <c r="M164" s="341"/>
      <c r="N164" s="341"/>
      <c r="O164" s="341"/>
      <c r="P164" s="341"/>
      <c r="Q164" s="341"/>
      <c r="R164" s="341"/>
      <c r="S164" s="341"/>
      <c r="T164" s="341"/>
      <c r="U164" s="341"/>
      <c r="V164" s="341"/>
      <c r="W164" s="341"/>
      <c r="X164" s="341"/>
      <c r="Y164" s="341"/>
      <c r="Z164" s="341"/>
      <c r="AA164" s="341"/>
      <c r="AB164" s="341"/>
      <c r="AC164" s="341"/>
      <c r="AD164" s="341"/>
      <c r="AE164" s="341"/>
      <c r="AF164" s="341"/>
      <c r="AG164" s="341"/>
      <c r="AH164" s="341"/>
      <c r="AI164" s="60"/>
      <c r="AJ164" s="60"/>
      <c r="AK164" s="60"/>
    </row>
    <row r="165" spans="1:37" ht="15.6" x14ac:dyDescent="0.3">
      <c r="A165" s="66" t="s">
        <v>89</v>
      </c>
      <c r="B165" s="11"/>
      <c r="C165" s="11"/>
      <c r="D165" s="58" t="s">
        <v>81</v>
      </c>
      <c r="E165" s="58"/>
      <c r="F165" s="58"/>
      <c r="G165" s="58"/>
      <c r="H165" s="58"/>
      <c r="I165" s="58"/>
      <c r="J165" s="58"/>
      <c r="K165" s="58"/>
      <c r="L165" s="58"/>
      <c r="M165" s="58"/>
      <c r="N165" s="58"/>
      <c r="O165" s="58"/>
      <c r="P165" s="58"/>
      <c r="Q165" s="58"/>
      <c r="R165" s="58"/>
      <c r="S165" s="58"/>
      <c r="T165" s="58"/>
      <c r="U165" s="58"/>
      <c r="V165" s="58"/>
      <c r="W165" s="58"/>
      <c r="X165" s="58"/>
      <c r="Y165" s="58"/>
      <c r="Z165" s="58"/>
      <c r="AA165" s="58"/>
      <c r="AB165" s="58"/>
      <c r="AC165" s="58"/>
      <c r="AD165" s="58"/>
      <c r="AE165" s="58"/>
      <c r="AF165" s="58"/>
      <c r="AG165" s="58"/>
      <c r="AH165" s="58"/>
      <c r="AI165" s="60"/>
      <c r="AJ165" s="60"/>
      <c r="AK165" s="60"/>
    </row>
    <row r="166" spans="1:37" ht="18" x14ac:dyDescent="0.3">
      <c r="A166" s="11" t="s">
        <v>82</v>
      </c>
      <c r="B166" s="11"/>
      <c r="C166" s="11"/>
      <c r="D166" s="33" t="s">
        <v>90</v>
      </c>
      <c r="E166" s="50">
        <f>'Achtergrond verbruiksprofielen'!$C$50</f>
        <v>2.4E-2</v>
      </c>
      <c r="F166" s="50">
        <f>'Achtergrond verbruiksprofielen'!$C$50</f>
        <v>2.4E-2</v>
      </c>
      <c r="G166" s="50">
        <f>'Achtergrond verbruiksprofielen'!$C$50</f>
        <v>2.4E-2</v>
      </c>
      <c r="H166" s="50">
        <f>'Achtergrond verbruiksprofielen'!$C$50</f>
        <v>2.4E-2</v>
      </c>
      <c r="I166" s="50">
        <f>'Achtergrond verbruiksprofielen'!$C$50</f>
        <v>2.4E-2</v>
      </c>
      <c r="J166" s="50">
        <f>'Achtergrond verbruiksprofielen'!$C$50</f>
        <v>2.4E-2</v>
      </c>
      <c r="K166" s="50">
        <f>'Achtergrond verbruiksprofielen'!$C$50</f>
        <v>2.4E-2</v>
      </c>
      <c r="L166" s="50">
        <f>'Achtergrond verbruiksprofielen'!$C$50</f>
        <v>2.4E-2</v>
      </c>
      <c r="M166" s="50">
        <f>'Achtergrond verbruiksprofielen'!$C$50</f>
        <v>2.4E-2</v>
      </c>
      <c r="N166" s="50">
        <f>'Achtergrond verbruiksprofielen'!$C$50</f>
        <v>2.4E-2</v>
      </c>
      <c r="O166" s="50">
        <f>'Achtergrond verbruiksprofielen'!$C$50</f>
        <v>2.4E-2</v>
      </c>
      <c r="P166" s="50">
        <f>'Achtergrond verbruiksprofielen'!$C$50</f>
        <v>2.4E-2</v>
      </c>
      <c r="Q166" s="50">
        <f>'Achtergrond verbruiksprofielen'!$C$50</f>
        <v>2.4E-2</v>
      </c>
      <c r="R166" s="50">
        <f>'Achtergrond verbruiksprofielen'!$C$50</f>
        <v>2.4E-2</v>
      </c>
      <c r="S166" s="50">
        <f>'Achtergrond verbruiksprofielen'!$C$50</f>
        <v>2.4E-2</v>
      </c>
      <c r="T166" s="50">
        <f>'Achtergrond verbruiksprofielen'!$C$50</f>
        <v>2.4E-2</v>
      </c>
      <c r="U166" s="50">
        <f>'Achtergrond verbruiksprofielen'!$C$50</f>
        <v>2.4E-2</v>
      </c>
      <c r="V166" s="50">
        <f>'Achtergrond verbruiksprofielen'!$C$50</f>
        <v>2.4E-2</v>
      </c>
      <c r="W166" s="50">
        <f>'Achtergrond verbruiksprofielen'!$C$50</f>
        <v>2.4E-2</v>
      </c>
      <c r="X166" s="50">
        <f>'Achtergrond verbruiksprofielen'!$C$50</f>
        <v>2.4E-2</v>
      </c>
      <c r="Y166" s="50">
        <f>'Achtergrond verbruiksprofielen'!$C$50</f>
        <v>2.4E-2</v>
      </c>
      <c r="Z166" s="50">
        <f>'Achtergrond verbruiksprofielen'!$C$50</f>
        <v>2.4E-2</v>
      </c>
      <c r="AA166" s="50">
        <f>'Achtergrond verbruiksprofielen'!$C$50</f>
        <v>2.4E-2</v>
      </c>
      <c r="AB166" s="50">
        <f>'Achtergrond verbruiksprofielen'!$C$50</f>
        <v>2.4E-2</v>
      </c>
      <c r="AC166" s="50">
        <f>'Achtergrond verbruiksprofielen'!$C$50</f>
        <v>2.4E-2</v>
      </c>
      <c r="AD166" s="50">
        <f>'Achtergrond verbruiksprofielen'!$C$50</f>
        <v>2.4E-2</v>
      </c>
      <c r="AE166" s="50">
        <f>'Achtergrond verbruiksprofielen'!$C$50</f>
        <v>2.4E-2</v>
      </c>
      <c r="AF166" s="50">
        <f>'Achtergrond verbruiksprofielen'!$C$50</f>
        <v>2.4E-2</v>
      </c>
      <c r="AG166" s="50">
        <f>'Achtergrond verbruiksprofielen'!$C$50</f>
        <v>2.4E-2</v>
      </c>
      <c r="AH166" s="50">
        <f>'Achtergrond verbruiksprofielen'!$C$50</f>
        <v>2.4E-2</v>
      </c>
      <c r="AI166" s="60"/>
      <c r="AJ166" s="60"/>
      <c r="AK166" s="60"/>
    </row>
    <row r="167" spans="1:37" ht="18" x14ac:dyDescent="0.4">
      <c r="A167" s="11" t="s">
        <v>178</v>
      </c>
      <c r="B167" s="11"/>
      <c r="C167" s="11"/>
      <c r="D167" s="223" t="s">
        <v>167</v>
      </c>
      <c r="E167" s="35">
        <v>0</v>
      </c>
      <c r="F167" s="35">
        <v>0</v>
      </c>
      <c r="G167" s="35">
        <v>0</v>
      </c>
      <c r="H167" s="35">
        <f>_xlfn.FORECAST.LINEAR(H$6,'Achtergrond verbruiksprofielen'!$C$54:$D$54,'Achtergrond verbruiksprofielen'!$C$52:$D$52)</f>
        <v>8.0000000000008953E-3</v>
      </c>
      <c r="I167" s="35">
        <f>_xlfn.FORECAST.LINEAR(I$6,'Achtergrond verbruiksprofielen'!$C$54:$D$54,'Achtergrond verbruiksprofielen'!$C$52:$D$52)</f>
        <v>1.3999999999999346E-2</v>
      </c>
      <c r="J167" s="35">
        <f>'Achtergrond verbruiksprofielen'!$D$54</f>
        <v>0.02</v>
      </c>
      <c r="K167" s="35">
        <f>_xlfn.FORECAST.LINEAR(K$6,'Achtergrond verbruiksprofielen'!$D$54:$E$54,'Achtergrond verbruiksprofielen'!$D$52:$E$52)</f>
        <v>2.3999999999999133E-2</v>
      </c>
      <c r="L167" s="35">
        <f>_xlfn.FORECAST.LINEAR(L$6,'Achtergrond verbruiksprofielen'!$D$54:$E$54,'Achtergrond verbruiksprofielen'!$D$52:$E$52)</f>
        <v>2.7999999999998693E-2</v>
      </c>
      <c r="M167" s="35">
        <f>_xlfn.FORECAST.LINEAR(M$6,'Achtergrond verbruiksprofielen'!$D$54:$E$54,'Achtergrond verbruiksprofielen'!$D$52:$E$52)</f>
        <v>3.1999999999998252E-2</v>
      </c>
      <c r="N167" s="35">
        <f>_xlfn.FORECAST.LINEAR(N$6,'Achtergrond verbruiksprofielen'!$D$54:$E$54,'Achtergrond verbruiksprofielen'!$D$52:$E$52)</f>
        <v>3.5999999999999588E-2</v>
      </c>
      <c r="O167" s="35">
        <f>'Achtergrond verbruiksprofielen'!$E$54</f>
        <v>0.04</v>
      </c>
      <c r="P167" s="35">
        <f>_xlfn.FORECAST.LINEAR(P$6,'Achtergrond verbruiksprofielen'!$E$54:$F$54,'Achtergrond verbruiksprofielen'!$E$52:$F$52)</f>
        <v>4.4000000000000483E-2</v>
      </c>
      <c r="Q167" s="35">
        <f>_xlfn.FORECAST.LINEAR(Q$6,'Achtergrond verbruiksprofielen'!$E$54:$F$54,'Achtergrond verbruiksprofielen'!$E$52:$F$52)</f>
        <v>4.8000000000000043E-2</v>
      </c>
      <c r="R167" s="35">
        <f>_xlfn.FORECAST.LINEAR(R$6,'Achtergrond verbruiksprofielen'!$E$54:$F$54,'Achtergrond verbruiksprofielen'!$E$52:$F$52)</f>
        <v>5.2000000000001378E-2</v>
      </c>
      <c r="S167" s="35">
        <f>_xlfn.FORECAST.LINEAR(S$6,'Achtergrond verbruiksprofielen'!$E$54:$F$54,'Achtergrond verbruiksprofielen'!$E$52:$F$52)</f>
        <v>5.6000000000000938E-2</v>
      </c>
      <c r="T167" s="35">
        <f>'Achtergrond verbruiksprofielen'!$F$54</f>
        <v>0.06</v>
      </c>
      <c r="U167" s="35">
        <f>'Achtergrond verbruiksprofielen'!$F$54</f>
        <v>0.06</v>
      </c>
      <c r="V167" s="35">
        <f>'Achtergrond verbruiksprofielen'!$F$54</f>
        <v>0.06</v>
      </c>
      <c r="W167" s="35">
        <f>'Achtergrond verbruiksprofielen'!$F$54</f>
        <v>0.06</v>
      </c>
      <c r="X167" s="35">
        <f>'Achtergrond verbruiksprofielen'!$F$54</f>
        <v>0.06</v>
      </c>
      <c r="Y167" s="35">
        <f>'Achtergrond verbruiksprofielen'!$F$54</f>
        <v>0.06</v>
      </c>
      <c r="Z167" s="35">
        <f>'Achtergrond verbruiksprofielen'!$F$54</f>
        <v>0.06</v>
      </c>
      <c r="AA167" s="35">
        <f>'Achtergrond verbruiksprofielen'!$F$54</f>
        <v>0.06</v>
      </c>
      <c r="AB167" s="35">
        <f>'Achtergrond verbruiksprofielen'!$F$54</f>
        <v>0.06</v>
      </c>
      <c r="AC167" s="35">
        <f>'Achtergrond verbruiksprofielen'!$F$54</f>
        <v>0.06</v>
      </c>
      <c r="AD167" s="35">
        <f>'Achtergrond verbruiksprofielen'!$F$54</f>
        <v>0.06</v>
      </c>
      <c r="AE167" s="35">
        <f>'Achtergrond verbruiksprofielen'!$F$54</f>
        <v>0.06</v>
      </c>
      <c r="AF167" s="35">
        <f>'Achtergrond verbruiksprofielen'!$F$54</f>
        <v>0.06</v>
      </c>
      <c r="AG167" s="35">
        <f>'Achtergrond verbruiksprofielen'!$F$54</f>
        <v>0.06</v>
      </c>
      <c r="AH167" s="35">
        <f>'Achtergrond verbruiksprofielen'!$F$54</f>
        <v>0.06</v>
      </c>
      <c r="AI167" s="60"/>
      <c r="AJ167" s="60"/>
      <c r="AK167" s="60"/>
    </row>
    <row r="168" spans="1:37" ht="18" x14ac:dyDescent="0.3">
      <c r="A168" s="11" t="s">
        <v>86</v>
      </c>
      <c r="B168" s="11"/>
      <c r="C168" s="11"/>
      <c r="D168" s="33" t="s">
        <v>62</v>
      </c>
      <c r="E168" s="35">
        <f>'Achtergrond verbruiksprofielen'!$C$88</f>
        <v>0</v>
      </c>
      <c r="F168" s="35">
        <f>'Achtergrond verbruiksprofielen'!$C$88+(F158-'Achtergrond verbruiksprofielen'!$C$86)*('Achtergrond verbruiksprofielen'!$D$88-'Achtergrond verbruiksprofielen'!$C$88)/('Achtergrond verbruiksprofielen'!$D$86-'Achtergrond verbruiksprofielen'!$C$86)</f>
        <v>0</v>
      </c>
      <c r="G168" s="35">
        <f>'Achtergrond verbruiksprofielen'!$C$88+(G158-'Achtergrond verbruiksprofielen'!$C$86)*('Achtergrond verbruiksprofielen'!$D$88-'Achtergrond verbruiksprofielen'!$C$88)/('Achtergrond verbruiksprofielen'!$D$86-'Achtergrond verbruiksprofielen'!$C$86)</f>
        <v>0</v>
      </c>
      <c r="H168" s="35">
        <f>'Achtergrond verbruiksprofielen'!$C$88+(H158-'Achtergrond verbruiksprofielen'!$C$86)*('Achtergrond verbruiksprofielen'!$D$88-'Achtergrond verbruiksprofielen'!$C$88)/('Achtergrond verbruiksprofielen'!$D$86-'Achtergrond verbruiksprofielen'!$C$86)</f>
        <v>0</v>
      </c>
      <c r="I168" s="35">
        <f>'Achtergrond verbruiksprofielen'!$C$88+(I158-'Achtergrond verbruiksprofielen'!$C$86)*('Achtergrond verbruiksprofielen'!$D$88-'Achtergrond verbruiksprofielen'!$C$88)/('Achtergrond verbruiksprofielen'!$D$86-'Achtergrond verbruiksprofielen'!$C$86)</f>
        <v>0</v>
      </c>
      <c r="J168" s="35">
        <f>'Achtergrond verbruiksprofielen'!$D$88</f>
        <v>0</v>
      </c>
      <c r="K168" s="35">
        <f>'Achtergrond verbruiksprofielen'!$D$88+(K158-'Achtergrond verbruiksprofielen'!$D$86)*('Achtergrond verbruiksprofielen'!$E$88-'Achtergrond verbruiksprofielen'!$D$88)/('Achtergrond verbruiksprofielen'!$E$86-'Achtergrond verbruiksprofielen'!$D$86)</f>
        <v>0</v>
      </c>
      <c r="L168" s="35">
        <f>'Achtergrond verbruiksprofielen'!$D$88+(L158-'Achtergrond verbruiksprofielen'!$D$86)*('Achtergrond verbruiksprofielen'!$E$88-'Achtergrond verbruiksprofielen'!$D$88)/('Achtergrond verbruiksprofielen'!$E$86-'Achtergrond verbruiksprofielen'!$D$86)</f>
        <v>0</v>
      </c>
      <c r="M168" s="35">
        <f>'Achtergrond verbruiksprofielen'!$D$88+(M158-'Achtergrond verbruiksprofielen'!$D$86)*('Achtergrond verbruiksprofielen'!$E$88-'Achtergrond verbruiksprofielen'!$D$88)/('Achtergrond verbruiksprofielen'!$E$86-'Achtergrond verbruiksprofielen'!$D$86)</f>
        <v>0</v>
      </c>
      <c r="N168" s="35">
        <f>'Achtergrond verbruiksprofielen'!$D$88+(N158-'Achtergrond verbruiksprofielen'!$D$86)*('Achtergrond verbruiksprofielen'!$E$88-'Achtergrond verbruiksprofielen'!$D$88)/('Achtergrond verbruiksprofielen'!$E$86-'Achtergrond verbruiksprofielen'!$D$86)</f>
        <v>0</v>
      </c>
      <c r="O168" s="35">
        <f>'Achtergrond verbruiksprofielen'!$E$88</f>
        <v>0</v>
      </c>
      <c r="P168" s="35">
        <f>'Achtergrond verbruiksprofielen'!$E$88+(P158-'Achtergrond verbruiksprofielen'!$E$86)*('Achtergrond verbruiksprofielen'!$F$88-'Achtergrond verbruiksprofielen'!$E$88)/('Achtergrond verbruiksprofielen'!$F$86-'Achtergrond verbruiksprofielen'!$E$86)</f>
        <v>0</v>
      </c>
      <c r="Q168" s="35">
        <f>'Achtergrond verbruiksprofielen'!$E$88+(Q158-'Achtergrond verbruiksprofielen'!$E$86)*('Achtergrond verbruiksprofielen'!$F$88-'Achtergrond verbruiksprofielen'!$E$88)/('Achtergrond verbruiksprofielen'!$F$86-'Achtergrond verbruiksprofielen'!$E$86)</f>
        <v>0</v>
      </c>
      <c r="R168" s="35">
        <f>'Achtergrond verbruiksprofielen'!$E$88+(R158-'Achtergrond verbruiksprofielen'!$E$86)*('Achtergrond verbruiksprofielen'!$F$88-'Achtergrond verbruiksprofielen'!$E$88)/('Achtergrond verbruiksprofielen'!$F$86-'Achtergrond verbruiksprofielen'!$E$86)</f>
        <v>0</v>
      </c>
      <c r="S168" s="35">
        <f>'Achtergrond verbruiksprofielen'!$E$88+(S158-'Achtergrond verbruiksprofielen'!$E$86)*('Achtergrond verbruiksprofielen'!$F$88-'Achtergrond verbruiksprofielen'!$E$88)/('Achtergrond verbruiksprofielen'!$F$86-'Achtergrond verbruiksprofielen'!$E$86)</f>
        <v>0</v>
      </c>
      <c r="T168" s="35">
        <f>'Achtergrond verbruiksprofielen'!$F$88</f>
        <v>0</v>
      </c>
      <c r="U168" s="35">
        <f>'Achtergrond verbruiksprofielen'!$F$88+(U158-'Achtergrond verbruiksprofielen'!$F$86)*('Achtergrond verbruiksprofielen'!$G$88-'Achtergrond verbruiksprofielen'!$F$88)/('Achtergrond verbruiksprofielen'!$G$86-'Achtergrond verbruiksprofielen'!$F$86)</f>
        <v>0</v>
      </c>
      <c r="V168" s="35">
        <f>'Achtergrond verbruiksprofielen'!$F$88+(V158-'Achtergrond verbruiksprofielen'!$F$86)*('Achtergrond verbruiksprofielen'!$G$88-'Achtergrond verbruiksprofielen'!$F$88)/('Achtergrond verbruiksprofielen'!$G$86-'Achtergrond verbruiksprofielen'!$F$86)</f>
        <v>0</v>
      </c>
      <c r="W168" s="35">
        <f>'Achtergrond verbruiksprofielen'!$F$88+(W158-'Achtergrond verbruiksprofielen'!$F$86)*('Achtergrond verbruiksprofielen'!$G$88-'Achtergrond verbruiksprofielen'!$F$88)/('Achtergrond verbruiksprofielen'!$G$86-'Achtergrond verbruiksprofielen'!$F$86)</f>
        <v>0</v>
      </c>
      <c r="X168" s="35">
        <f>'Achtergrond verbruiksprofielen'!$F$88+(X158-'Achtergrond verbruiksprofielen'!$F$86)*('Achtergrond verbruiksprofielen'!$G$88-'Achtergrond verbruiksprofielen'!$F$88)/('Achtergrond verbruiksprofielen'!$G$86-'Achtergrond verbruiksprofielen'!$F$86)</f>
        <v>0</v>
      </c>
      <c r="Y168" s="35">
        <f>'Achtergrond verbruiksprofielen'!$G$88</f>
        <v>0</v>
      </c>
      <c r="Z168" s="35">
        <f>'Achtergrond verbruiksprofielen'!$G$88+(Z158-'Achtergrond verbruiksprofielen'!$G$86)*('Achtergrond verbruiksprofielen'!$H$88-'Achtergrond verbruiksprofielen'!$G$88)/('Achtergrond verbruiksprofielen'!$H$86-'Achtergrond verbruiksprofielen'!$G$86)</f>
        <v>0</v>
      </c>
      <c r="AA168" s="35">
        <f>'Achtergrond verbruiksprofielen'!$G$88+(AA158-'Achtergrond verbruiksprofielen'!$G$86)*('Achtergrond verbruiksprofielen'!$H$88-'Achtergrond verbruiksprofielen'!$G$88)/('Achtergrond verbruiksprofielen'!$H$86-'Achtergrond verbruiksprofielen'!$G$86)</f>
        <v>0</v>
      </c>
      <c r="AB168" s="35">
        <f>'Achtergrond verbruiksprofielen'!$G$88+(AB158-'Achtergrond verbruiksprofielen'!$G$86)*('Achtergrond verbruiksprofielen'!$H$88-'Achtergrond verbruiksprofielen'!$G$88)/('Achtergrond verbruiksprofielen'!$H$86-'Achtergrond verbruiksprofielen'!$G$86)</f>
        <v>0</v>
      </c>
      <c r="AC168" s="35">
        <f>'Achtergrond verbruiksprofielen'!$G$88+(AC158-'Achtergrond verbruiksprofielen'!$G$86)*('Achtergrond verbruiksprofielen'!$H$88-'Achtergrond verbruiksprofielen'!$G$88)/('Achtergrond verbruiksprofielen'!$H$86-'Achtergrond verbruiksprofielen'!$G$86)</f>
        <v>0</v>
      </c>
      <c r="AD168" s="35">
        <f>'Achtergrond verbruiksprofielen'!$H$88</f>
        <v>0</v>
      </c>
      <c r="AE168" s="35">
        <f>'Achtergrond verbruiksprofielen'!$H$88</f>
        <v>0</v>
      </c>
      <c r="AF168" s="35">
        <f>'Achtergrond verbruiksprofielen'!$H$88</f>
        <v>0</v>
      </c>
      <c r="AG168" s="35">
        <f>'Achtergrond verbruiksprofielen'!$H$88</f>
        <v>0</v>
      </c>
      <c r="AH168" s="35">
        <f>'Achtergrond verbruiksprofielen'!$H$88</f>
        <v>0</v>
      </c>
      <c r="AI168" s="60"/>
      <c r="AJ168" s="60"/>
      <c r="AK168" s="60"/>
    </row>
    <row r="169" spans="1:37" ht="15.6" x14ac:dyDescent="0.3">
      <c r="A169" s="11" t="s">
        <v>87</v>
      </c>
      <c r="B169" s="11"/>
      <c r="C169" s="33"/>
      <c r="D169" s="33" t="s">
        <v>88</v>
      </c>
      <c r="E169" s="361">
        <f>'Achtergrond verbruiksprofielen'!$C$89</f>
        <v>0</v>
      </c>
      <c r="F169" s="361">
        <f>'Achtergrond verbruiksprofielen'!$C$89+(F158-'Achtergrond verbruiksprofielen'!$C$86)*('Achtergrond verbruiksprofielen'!$D$89-'Achtergrond verbruiksprofielen'!$C$89)/('Achtergrond verbruiksprofielen'!$D$86-'Achtergrond verbruiksprofielen'!$C$86)</f>
        <v>0</v>
      </c>
      <c r="G169" s="361">
        <f>'Achtergrond verbruiksprofielen'!$C$89+(G158-'Achtergrond verbruiksprofielen'!$C$86)*('Achtergrond verbruiksprofielen'!$D$89-'Achtergrond verbruiksprofielen'!$C$89)/('Achtergrond verbruiksprofielen'!$D$86-'Achtergrond verbruiksprofielen'!$C$86)</f>
        <v>0</v>
      </c>
      <c r="H169" s="361">
        <f>'Achtergrond verbruiksprofielen'!$C$89+(H158-'Achtergrond verbruiksprofielen'!$C$86)*('Achtergrond verbruiksprofielen'!$D$89-'Achtergrond verbruiksprofielen'!$C$89)/('Achtergrond verbruiksprofielen'!$D$86-'Achtergrond verbruiksprofielen'!$C$86)</f>
        <v>0</v>
      </c>
      <c r="I169" s="361">
        <f>'Achtergrond verbruiksprofielen'!$C$89+(I158-'Achtergrond verbruiksprofielen'!$C$86)*('Achtergrond verbruiksprofielen'!$D$89-'Achtergrond verbruiksprofielen'!$C$89)/('Achtergrond verbruiksprofielen'!$D$86-'Achtergrond verbruiksprofielen'!$C$86)</f>
        <v>0</v>
      </c>
      <c r="J169" s="361">
        <f>'Achtergrond verbruiksprofielen'!$D$89</f>
        <v>0</v>
      </c>
      <c r="K169" s="361">
        <f>'Achtergrond verbruiksprofielen'!$D$89+(K158-'Achtergrond verbruiksprofielen'!$D$86)*('Achtergrond verbruiksprofielen'!$E$89-'Achtergrond verbruiksprofielen'!$D$89)/('Achtergrond verbruiksprofielen'!$E$86-'Achtergrond verbruiksprofielen'!$D$86)</f>
        <v>0</v>
      </c>
      <c r="L169" s="361">
        <f>'Achtergrond verbruiksprofielen'!$D$89+(L158-'Achtergrond verbruiksprofielen'!$D$86)*('Achtergrond verbruiksprofielen'!$E$89-'Achtergrond verbruiksprofielen'!$D$89)/('Achtergrond verbruiksprofielen'!$E$86-'Achtergrond verbruiksprofielen'!$D$86)</f>
        <v>0</v>
      </c>
      <c r="M169" s="361">
        <f>'Achtergrond verbruiksprofielen'!$D$89+(M158-'Achtergrond verbruiksprofielen'!$D$86)*('Achtergrond verbruiksprofielen'!$E$89-'Achtergrond verbruiksprofielen'!$D$89)/('Achtergrond verbruiksprofielen'!$E$86-'Achtergrond verbruiksprofielen'!$D$86)</f>
        <v>0</v>
      </c>
      <c r="N169" s="361">
        <f>'Achtergrond verbruiksprofielen'!$D$89+(N158-'Achtergrond verbruiksprofielen'!$D$86)*('Achtergrond verbruiksprofielen'!$E$89-'Achtergrond verbruiksprofielen'!$D$89)/('Achtergrond verbruiksprofielen'!$E$86-'Achtergrond verbruiksprofielen'!$D$86)</f>
        <v>0</v>
      </c>
      <c r="O169" s="361">
        <f>'Achtergrond verbruiksprofielen'!$E$89</f>
        <v>0</v>
      </c>
      <c r="P169" s="361">
        <f>'Achtergrond verbruiksprofielen'!$E$89+(P158-'Achtergrond verbruiksprofielen'!$E$86)*('Achtergrond verbruiksprofielen'!$F$89-'Achtergrond verbruiksprofielen'!$E$89)/('Achtergrond verbruiksprofielen'!$F$86-'Achtergrond verbruiksprofielen'!$E$86)</f>
        <v>0</v>
      </c>
      <c r="Q169" s="361">
        <f>'Achtergrond verbruiksprofielen'!$E$89+(Q158-'Achtergrond verbruiksprofielen'!$E$86)*('Achtergrond verbruiksprofielen'!$F$89-'Achtergrond verbruiksprofielen'!$E$89)/('Achtergrond verbruiksprofielen'!$F$86-'Achtergrond verbruiksprofielen'!$E$86)</f>
        <v>0</v>
      </c>
      <c r="R169" s="361">
        <f>'Achtergrond verbruiksprofielen'!$E$89+(R158-'Achtergrond verbruiksprofielen'!$E$86)*('Achtergrond verbruiksprofielen'!$F$89-'Achtergrond verbruiksprofielen'!$E$89)/('Achtergrond verbruiksprofielen'!$F$86-'Achtergrond verbruiksprofielen'!$E$86)</f>
        <v>0</v>
      </c>
      <c r="S169" s="361">
        <f>'Achtergrond verbruiksprofielen'!$E$89+(S158-'Achtergrond verbruiksprofielen'!$E$86)*('Achtergrond verbruiksprofielen'!$F$89-'Achtergrond verbruiksprofielen'!$E$89)/('Achtergrond verbruiksprofielen'!$F$86-'Achtergrond verbruiksprofielen'!$E$86)</f>
        <v>0</v>
      </c>
      <c r="T169" s="361">
        <f>'Achtergrond verbruiksprofielen'!$F$89</f>
        <v>0</v>
      </c>
      <c r="U169" s="361">
        <f>'Achtergrond verbruiksprofielen'!$F$89+(U158-'Achtergrond verbruiksprofielen'!$F$86)*('Achtergrond verbruiksprofielen'!$G$89-'Achtergrond verbruiksprofielen'!$F$89)/('Achtergrond verbruiksprofielen'!$G$86-'Achtergrond verbruiksprofielen'!$F$86)</f>
        <v>0</v>
      </c>
      <c r="V169" s="361">
        <f>'Achtergrond verbruiksprofielen'!$F$89+(V158-'Achtergrond verbruiksprofielen'!$F$86)*('Achtergrond verbruiksprofielen'!$G$89-'Achtergrond verbruiksprofielen'!$F$89)/('Achtergrond verbruiksprofielen'!$G$86-'Achtergrond verbruiksprofielen'!$F$86)</f>
        <v>0</v>
      </c>
      <c r="W169" s="361">
        <f>'Achtergrond verbruiksprofielen'!$F$89+(W158-'Achtergrond verbruiksprofielen'!$F$86)*('Achtergrond verbruiksprofielen'!$G$89-'Achtergrond verbruiksprofielen'!$F$89)/('Achtergrond verbruiksprofielen'!$G$86-'Achtergrond verbruiksprofielen'!$F$86)</f>
        <v>0</v>
      </c>
      <c r="X169" s="361">
        <f>'Achtergrond verbruiksprofielen'!$F$89+(X158-'Achtergrond verbruiksprofielen'!$F$86)*('Achtergrond verbruiksprofielen'!$G$89-'Achtergrond verbruiksprofielen'!$F$89)/('Achtergrond verbruiksprofielen'!$G$86-'Achtergrond verbruiksprofielen'!$F$86)</f>
        <v>0</v>
      </c>
      <c r="Y169" s="361">
        <f>'Achtergrond verbruiksprofielen'!$G$89</f>
        <v>0</v>
      </c>
      <c r="Z169" s="361">
        <f>'Achtergrond verbruiksprofielen'!$G$89+(Z158-'Achtergrond verbruiksprofielen'!$G$86)*('Achtergrond verbruiksprofielen'!$H$89-'Achtergrond verbruiksprofielen'!$G$89)/('Achtergrond verbruiksprofielen'!$H$86-'Achtergrond verbruiksprofielen'!$G$86)</f>
        <v>0</v>
      </c>
      <c r="AA169" s="361">
        <f>'Achtergrond verbruiksprofielen'!$G$89+(AA158-'Achtergrond verbruiksprofielen'!$G$86)*('Achtergrond verbruiksprofielen'!$H$89-'Achtergrond verbruiksprofielen'!$G$89)/('Achtergrond verbruiksprofielen'!$H$86-'Achtergrond verbruiksprofielen'!$G$86)</f>
        <v>0</v>
      </c>
      <c r="AB169" s="361">
        <f>'Achtergrond verbruiksprofielen'!$G$89+(AB158-'Achtergrond verbruiksprofielen'!$G$86)*('Achtergrond verbruiksprofielen'!$H$89-'Achtergrond verbruiksprofielen'!$G$89)/('Achtergrond verbruiksprofielen'!$H$86-'Achtergrond verbruiksprofielen'!$G$86)</f>
        <v>0</v>
      </c>
      <c r="AC169" s="361">
        <f>'Achtergrond verbruiksprofielen'!$G$89+(AC158-'Achtergrond verbruiksprofielen'!$G$86)*('Achtergrond verbruiksprofielen'!$H$89-'Achtergrond verbruiksprofielen'!$G$89)/('Achtergrond verbruiksprofielen'!$H$86-'Achtergrond verbruiksprofielen'!$G$86)</f>
        <v>0</v>
      </c>
      <c r="AD169" s="361">
        <f>'Achtergrond verbruiksprofielen'!$H$89</f>
        <v>0</v>
      </c>
      <c r="AE169" s="361">
        <f>'Achtergrond verbruiksprofielen'!$H$89</f>
        <v>0</v>
      </c>
      <c r="AF169" s="361">
        <f>'Achtergrond verbruiksprofielen'!$H$89</f>
        <v>0</v>
      </c>
      <c r="AG169" s="361">
        <f>'Achtergrond verbruiksprofielen'!$H$89</f>
        <v>0</v>
      </c>
      <c r="AH169" s="361">
        <f>'Achtergrond verbruiksprofielen'!$H$89</f>
        <v>0</v>
      </c>
      <c r="AI169" s="60"/>
      <c r="AJ169" s="60"/>
      <c r="AK169" s="60"/>
    </row>
    <row r="170" spans="1:37" ht="15.6" x14ac:dyDescent="0.3">
      <c r="A170" s="11"/>
      <c r="B170" s="11"/>
      <c r="C170" s="11"/>
      <c r="D170" s="11"/>
      <c r="E170" s="341"/>
      <c r="F170" s="341"/>
      <c r="G170" s="341"/>
      <c r="H170" s="341"/>
      <c r="I170" s="341"/>
      <c r="J170" s="341"/>
      <c r="K170" s="341"/>
      <c r="L170" s="341"/>
      <c r="M170" s="341"/>
      <c r="N170" s="341"/>
      <c r="O170" s="341"/>
      <c r="P170" s="341"/>
      <c r="Q170" s="341"/>
      <c r="R170" s="341"/>
      <c r="S170" s="341"/>
      <c r="T170" s="341"/>
      <c r="U170" s="341"/>
      <c r="V170" s="341"/>
      <c r="W170" s="341"/>
      <c r="X170" s="341"/>
      <c r="Y170" s="341"/>
      <c r="Z170" s="341"/>
      <c r="AA170" s="341"/>
      <c r="AB170" s="341"/>
      <c r="AC170" s="341"/>
      <c r="AD170" s="341"/>
      <c r="AE170" s="341"/>
      <c r="AF170" s="341"/>
      <c r="AG170" s="341"/>
      <c r="AH170" s="341"/>
      <c r="AI170" s="60"/>
      <c r="AJ170" s="60"/>
      <c r="AK170" s="60"/>
    </row>
    <row r="171" spans="1:37" ht="15.6" x14ac:dyDescent="0.3">
      <c r="A171" s="66" t="s">
        <v>91</v>
      </c>
      <c r="B171" s="11"/>
      <c r="C171" s="11"/>
      <c r="D171" s="58" t="s">
        <v>81</v>
      </c>
      <c r="E171" s="58"/>
      <c r="F171" s="58"/>
      <c r="G171" s="58"/>
      <c r="H171" s="58"/>
      <c r="I171" s="58"/>
      <c r="J171" s="58"/>
      <c r="K171" s="58"/>
      <c r="L171" s="58"/>
      <c r="M171" s="58"/>
      <c r="N171" s="58"/>
      <c r="O171" s="58"/>
      <c r="P171" s="58"/>
      <c r="Q171" s="58"/>
      <c r="R171" s="58"/>
      <c r="S171" s="58"/>
      <c r="T171" s="58"/>
      <c r="U171" s="58"/>
      <c r="V171" s="58"/>
      <c r="W171" s="58"/>
      <c r="X171" s="58"/>
      <c r="Y171" s="58"/>
      <c r="Z171" s="58"/>
      <c r="AA171" s="58"/>
      <c r="AB171" s="58"/>
      <c r="AC171" s="58"/>
      <c r="AD171" s="58"/>
      <c r="AE171" s="58"/>
      <c r="AF171" s="58"/>
      <c r="AG171" s="58"/>
      <c r="AH171" s="58"/>
      <c r="AI171" s="60"/>
      <c r="AJ171" s="60"/>
      <c r="AK171" s="60"/>
    </row>
    <row r="172" spans="1:37" ht="18" x14ac:dyDescent="0.3">
      <c r="A172" s="11" t="s">
        <v>82</v>
      </c>
      <c r="B172" s="11"/>
      <c r="C172" s="11"/>
      <c r="D172" s="33" t="s">
        <v>90</v>
      </c>
      <c r="E172" s="50">
        <f>'Achtergrond verbruiksprofielen'!$C$94</f>
        <v>3.2000000000000001E-2</v>
      </c>
      <c r="F172" s="50">
        <f>'Achtergrond verbruiksprofielen'!$C$94</f>
        <v>3.2000000000000001E-2</v>
      </c>
      <c r="G172" s="50">
        <f>'Achtergrond verbruiksprofielen'!$C$94</f>
        <v>3.2000000000000001E-2</v>
      </c>
      <c r="H172" s="50">
        <f>'Achtergrond verbruiksprofielen'!$C$94</f>
        <v>3.2000000000000001E-2</v>
      </c>
      <c r="I172" s="50">
        <f>'Achtergrond verbruiksprofielen'!$C$94</f>
        <v>3.2000000000000001E-2</v>
      </c>
      <c r="J172" s="50">
        <f>'Achtergrond verbruiksprofielen'!$C$94</f>
        <v>3.2000000000000001E-2</v>
      </c>
      <c r="K172" s="50">
        <f>'Achtergrond verbruiksprofielen'!$C$94</f>
        <v>3.2000000000000001E-2</v>
      </c>
      <c r="L172" s="50">
        <f>'Achtergrond verbruiksprofielen'!$C$94</f>
        <v>3.2000000000000001E-2</v>
      </c>
      <c r="M172" s="50">
        <f>'Achtergrond verbruiksprofielen'!$C$94</f>
        <v>3.2000000000000001E-2</v>
      </c>
      <c r="N172" s="50">
        <f>'Achtergrond verbruiksprofielen'!$C$94</f>
        <v>3.2000000000000001E-2</v>
      </c>
      <c r="O172" s="50">
        <f>'Achtergrond verbruiksprofielen'!$C$94</f>
        <v>3.2000000000000001E-2</v>
      </c>
      <c r="P172" s="50">
        <f>'Achtergrond verbruiksprofielen'!$C$94</f>
        <v>3.2000000000000001E-2</v>
      </c>
      <c r="Q172" s="50">
        <f>'Achtergrond verbruiksprofielen'!$C$94</f>
        <v>3.2000000000000001E-2</v>
      </c>
      <c r="R172" s="50">
        <f>'Achtergrond verbruiksprofielen'!$C$94</f>
        <v>3.2000000000000001E-2</v>
      </c>
      <c r="S172" s="50">
        <f>'Achtergrond verbruiksprofielen'!$C$94</f>
        <v>3.2000000000000001E-2</v>
      </c>
      <c r="T172" s="50">
        <f>'Achtergrond verbruiksprofielen'!$C$94</f>
        <v>3.2000000000000001E-2</v>
      </c>
      <c r="U172" s="50">
        <f>'Achtergrond verbruiksprofielen'!$C$94</f>
        <v>3.2000000000000001E-2</v>
      </c>
      <c r="V172" s="50">
        <f>'Achtergrond verbruiksprofielen'!$C$94</f>
        <v>3.2000000000000001E-2</v>
      </c>
      <c r="W172" s="50">
        <f>'Achtergrond verbruiksprofielen'!$C$94</f>
        <v>3.2000000000000001E-2</v>
      </c>
      <c r="X172" s="50">
        <f>'Achtergrond verbruiksprofielen'!$C$94</f>
        <v>3.2000000000000001E-2</v>
      </c>
      <c r="Y172" s="50">
        <f>'Achtergrond verbruiksprofielen'!$C$94</f>
        <v>3.2000000000000001E-2</v>
      </c>
      <c r="Z172" s="50">
        <f>'Achtergrond verbruiksprofielen'!$C$94</f>
        <v>3.2000000000000001E-2</v>
      </c>
      <c r="AA172" s="50">
        <f>'Achtergrond verbruiksprofielen'!$C$94</f>
        <v>3.2000000000000001E-2</v>
      </c>
      <c r="AB172" s="50">
        <f>'Achtergrond verbruiksprofielen'!$C$94</f>
        <v>3.2000000000000001E-2</v>
      </c>
      <c r="AC172" s="50">
        <f>'Achtergrond verbruiksprofielen'!$C$94</f>
        <v>3.2000000000000001E-2</v>
      </c>
      <c r="AD172" s="50">
        <f>'Achtergrond verbruiksprofielen'!$C$94</f>
        <v>3.2000000000000001E-2</v>
      </c>
      <c r="AE172" s="50">
        <f>'Achtergrond verbruiksprofielen'!$C$94</f>
        <v>3.2000000000000001E-2</v>
      </c>
      <c r="AF172" s="50">
        <f>'Achtergrond verbruiksprofielen'!$C$94</f>
        <v>3.2000000000000001E-2</v>
      </c>
      <c r="AG172" s="50">
        <f>'Achtergrond verbruiksprofielen'!$C$94</f>
        <v>3.2000000000000001E-2</v>
      </c>
      <c r="AH172" s="50">
        <f>'Achtergrond verbruiksprofielen'!$C$94</f>
        <v>3.2000000000000001E-2</v>
      </c>
      <c r="AI172" s="60"/>
      <c r="AJ172" s="60"/>
      <c r="AK172" s="60"/>
    </row>
    <row r="173" spans="1:37" ht="18" x14ac:dyDescent="0.4">
      <c r="A173" s="11" t="s">
        <v>178</v>
      </c>
      <c r="B173" s="11"/>
      <c r="C173" s="11"/>
      <c r="D173" s="223" t="s">
        <v>167</v>
      </c>
      <c r="E173" s="35">
        <v>0</v>
      </c>
      <c r="F173" s="35">
        <v>0</v>
      </c>
      <c r="G173" s="35">
        <v>0</v>
      </c>
      <c r="H173" s="35">
        <f>_xlfn.FORECAST.LINEAR(H$6,'Achtergrond verbruiksprofielen'!$C$98:$D$98,'Achtergrond verbruiksprofielen'!$C$96:$D$96)</f>
        <v>1.3999999999995794E-2</v>
      </c>
      <c r="I173" s="35">
        <f>_xlfn.FORECAST.LINEAR(I$6,'Achtergrond verbruiksprofielen'!$C$98:$D$98,'Achtergrond verbruiksprofielen'!$C$96:$D$96)</f>
        <v>2.9333333333330103E-2</v>
      </c>
      <c r="J173" s="35">
        <f>_xlfn.FORECAST.LINEAR(J$6,'Achtergrond verbruiksprofielen'!$C$98:$D$98,'Achtergrond verbruiksprofielen'!$C$96:$D$96)</f>
        <v>4.4666666666664412E-2</v>
      </c>
      <c r="K173" s="35">
        <f>_xlfn.FORECAST.LINEAR(K$6,'Achtergrond verbruiksprofielen'!$C$98:$D$98,'Achtergrond verbruiksprofielen'!$C$96:$D$96)</f>
        <v>5.9999999999998721E-2</v>
      </c>
      <c r="L173" s="35">
        <f>_xlfn.FORECAST.LINEAR(L$6,'Achtergrond verbruiksprofielen'!$C$98:$D$98,'Achtergrond verbruiksprofielen'!$C$96:$D$96)</f>
        <v>7.5333333333329477E-2</v>
      </c>
      <c r="M173" s="35">
        <f>_xlfn.FORECAST.LINEAR(M$6,'Achtergrond verbruiksprofielen'!$C$98:$D$98,'Achtergrond verbruiksprofielen'!$C$96:$D$96)</f>
        <v>9.0666666666663787E-2</v>
      </c>
      <c r="N173" s="35">
        <f>_xlfn.FORECAST.LINEAR(N$6,'Achtergrond verbruiksprofielen'!$C$98:$D$98,'Achtergrond verbruiksprofielen'!$C$96:$D$96)</f>
        <v>0.1059999999999981</v>
      </c>
      <c r="O173" s="35">
        <f>_xlfn.FORECAST.LINEAR(O$6,'Achtergrond verbruiksprofielen'!$C$98:$D$98,'Achtergrond verbruiksprofielen'!$C$96:$D$96)</f>
        <v>0.1213333333333324</v>
      </c>
      <c r="P173" s="35">
        <f>_xlfn.FORECAST.LINEAR(P$6,'Achtergrond verbruiksprofielen'!$C$98:$D$98,'Achtergrond verbruiksprofielen'!$C$96:$D$96)</f>
        <v>0.13666666666666316</v>
      </c>
      <c r="Q173" s="35">
        <f>_xlfn.FORECAST.LINEAR(Q$6,'Achtergrond verbruiksprofielen'!$C$98:$D$98,'Achtergrond verbruiksprofielen'!$C$96:$D$96)</f>
        <v>0.15199999999999747</v>
      </c>
      <c r="R173" s="35">
        <f>_xlfn.FORECAST.LINEAR(R$6,'Achtergrond verbruiksprofielen'!$C$98:$D$98,'Achtergrond verbruiksprofielen'!$C$96:$D$96)</f>
        <v>0.16733333333333178</v>
      </c>
      <c r="S173" s="35">
        <f>_xlfn.FORECAST.LINEAR(S$6,'Achtergrond verbruiksprofielen'!$C$98:$D$98,'Achtergrond verbruiksprofielen'!$C$96:$D$96)</f>
        <v>0.18266666666666254</v>
      </c>
      <c r="T173" s="35">
        <f>_xlfn.FORECAST.LINEAR(T$6,'Achtergrond verbruiksprofielen'!$C$98:$D$98,'Achtergrond verbruiksprofielen'!$C$96:$D$96)</f>
        <v>0.19799999999999685</v>
      </c>
      <c r="U173" s="35">
        <f>_xlfn.FORECAST.LINEAR(U$6,'Achtergrond verbruiksprofielen'!$C$98:$D$98,'Achtergrond verbruiksprofielen'!$C$96:$D$96)</f>
        <v>0.21333333333333115</v>
      </c>
      <c r="V173" s="35">
        <f>_xlfn.FORECAST.LINEAR(V$6,'Achtergrond verbruiksprofielen'!$C$98:$D$98,'Achtergrond verbruiksprofielen'!$C$96:$D$96)</f>
        <v>0.22866666666666546</v>
      </c>
      <c r="W173" s="35">
        <f>_xlfn.FORECAST.LINEAR(W$6,'Achtergrond verbruiksprofielen'!$C$98:$D$98,'Achtergrond verbruiksprofielen'!$C$96:$D$96)</f>
        <v>0.24399999999999622</v>
      </c>
      <c r="X173" s="35">
        <f>_xlfn.FORECAST.LINEAR(X$6,'Achtergrond verbruiksprofielen'!$C$98:$D$98,'Achtergrond verbruiksprofielen'!$C$96:$D$96)</f>
        <v>0.25933333333333053</v>
      </c>
      <c r="Y173" s="35">
        <f>_xlfn.FORECAST.LINEAR(Y$6,'Achtergrond verbruiksprofielen'!$C$98:$D$98,'Achtergrond verbruiksprofielen'!$C$96:$D$96)</f>
        <v>0.27466666666666484</v>
      </c>
      <c r="Z173" s="35">
        <f>_xlfn.FORECAST.LINEAR(Z$6,'Achtergrond verbruiksprofielen'!$C$98:$D$98,'Achtergrond verbruiksprofielen'!$C$96:$D$96)</f>
        <v>0.28999999999999915</v>
      </c>
      <c r="AA173" s="35">
        <f>_xlfn.FORECAST.LINEAR(AA$6,'Achtergrond verbruiksprofielen'!$C$98:$D$98,'Achtergrond verbruiksprofielen'!$C$96:$D$96)</f>
        <v>0.3053333333333299</v>
      </c>
      <c r="AB173" s="35">
        <f>_xlfn.FORECAST.LINEAR(AB$6,'Achtergrond verbruiksprofielen'!$C$98:$D$98,'Achtergrond verbruiksprofielen'!$C$96:$D$96)</f>
        <v>0.32066666666666421</v>
      </c>
      <c r="AC173" s="35">
        <f>_xlfn.FORECAST.LINEAR(AC$6,'Achtergrond verbruiksprofielen'!$C$98:$D$98,'Achtergrond verbruiksprofielen'!$C$96:$D$96)</f>
        <v>0.33599999999999852</v>
      </c>
      <c r="AD173" s="35">
        <f>'Achtergrond verbruiksprofielen'!$D$98</f>
        <v>0.06</v>
      </c>
      <c r="AE173" s="35">
        <f>'Achtergrond verbruiksprofielen'!$D$98</f>
        <v>0.06</v>
      </c>
      <c r="AF173" s="35">
        <f>'Achtergrond verbruiksprofielen'!$D$98</f>
        <v>0.06</v>
      </c>
      <c r="AG173" s="35">
        <f>'Achtergrond verbruiksprofielen'!$D$98</f>
        <v>0.06</v>
      </c>
      <c r="AH173" s="35">
        <f>'Achtergrond verbruiksprofielen'!$D$98</f>
        <v>0.06</v>
      </c>
      <c r="AI173" s="60"/>
      <c r="AJ173" s="60"/>
      <c r="AK173" s="60"/>
    </row>
    <row r="174" spans="1:37" ht="18" x14ac:dyDescent="0.3">
      <c r="A174" s="11" t="s">
        <v>86</v>
      </c>
      <c r="B174" s="11"/>
      <c r="C174" s="11"/>
      <c r="D174" s="33" t="s">
        <v>62</v>
      </c>
      <c r="E174" s="35">
        <f>'Achtergrond verbruiksprofielen'!$C$132</f>
        <v>0</v>
      </c>
      <c r="F174" s="35">
        <f>'Achtergrond verbruiksprofielen'!$C$132+(F158-'Achtergrond verbruiksprofielen'!$C$130)*('Achtergrond verbruiksprofielen'!$D$132-'Achtergrond verbruiksprofielen'!$C$132)/('Achtergrond verbruiksprofielen'!$D$130-'Achtergrond verbruiksprofielen'!$C$130)</f>
        <v>0</v>
      </c>
      <c r="G174" s="35">
        <f>'Achtergrond verbruiksprofielen'!$C$132+(G158-'Achtergrond verbruiksprofielen'!$C$130)*('Achtergrond verbruiksprofielen'!$D$132-'Achtergrond verbruiksprofielen'!$C$132)/('Achtergrond verbruiksprofielen'!$D$130-'Achtergrond verbruiksprofielen'!$C$130)</f>
        <v>0</v>
      </c>
      <c r="H174" s="35">
        <f>'Achtergrond verbruiksprofielen'!$C$132+(H158-'Achtergrond verbruiksprofielen'!$C$130)*('Achtergrond verbruiksprofielen'!$D$132-'Achtergrond verbruiksprofielen'!$C$132)/('Achtergrond verbruiksprofielen'!$D$130-'Achtergrond verbruiksprofielen'!$C$130)</f>
        <v>0</v>
      </c>
      <c r="I174" s="35">
        <f>'Achtergrond verbruiksprofielen'!$C$132+(I158-'Achtergrond verbruiksprofielen'!$C$130)*('Achtergrond verbruiksprofielen'!$D$132-'Achtergrond verbruiksprofielen'!$C$132)/('Achtergrond verbruiksprofielen'!$D$130-'Achtergrond verbruiksprofielen'!$C$130)</f>
        <v>0</v>
      </c>
      <c r="J174" s="35">
        <f>'Achtergrond verbruiksprofielen'!$D$132</f>
        <v>0</v>
      </c>
      <c r="K174" s="35">
        <f>'Achtergrond verbruiksprofielen'!$D$132+(K158-'Achtergrond verbruiksprofielen'!$D$130)*('Achtergrond verbruiksprofielen'!$E$132-'Achtergrond verbruiksprofielen'!$D$132)/('Achtergrond verbruiksprofielen'!$E$130-'Achtergrond verbruiksprofielen'!$D$130)</f>
        <v>0</v>
      </c>
      <c r="L174" s="35">
        <f>'Achtergrond verbruiksprofielen'!$D$132+(L158-'Achtergrond verbruiksprofielen'!$D$130)*('Achtergrond verbruiksprofielen'!$E$132-'Achtergrond verbruiksprofielen'!$D$132)/('Achtergrond verbruiksprofielen'!$E$130-'Achtergrond verbruiksprofielen'!$D$130)</f>
        <v>0</v>
      </c>
      <c r="M174" s="35">
        <f>'Achtergrond verbruiksprofielen'!$D$132+(M158-'Achtergrond verbruiksprofielen'!$D$130)*('Achtergrond verbruiksprofielen'!$E$132-'Achtergrond verbruiksprofielen'!$D$132)/('Achtergrond verbruiksprofielen'!$E$130-'Achtergrond verbruiksprofielen'!$D$130)</f>
        <v>0</v>
      </c>
      <c r="N174" s="35">
        <f>'Achtergrond verbruiksprofielen'!$D$132+(N158-'Achtergrond verbruiksprofielen'!$D$130)*('Achtergrond verbruiksprofielen'!$E$132-'Achtergrond verbruiksprofielen'!$D$132)/('Achtergrond verbruiksprofielen'!$E$130-'Achtergrond verbruiksprofielen'!$D$130)</f>
        <v>0</v>
      </c>
      <c r="O174" s="35">
        <f>'Achtergrond verbruiksprofielen'!$E$132</f>
        <v>0</v>
      </c>
      <c r="P174" s="35">
        <f>'Achtergrond verbruiksprofielen'!$E$132+(P158-'Achtergrond verbruiksprofielen'!$E$130)*('Achtergrond verbruiksprofielen'!$F$132-'Achtergrond verbruiksprofielen'!$E$132)/('Achtergrond verbruiksprofielen'!$F$130-'Achtergrond verbruiksprofielen'!$E$130)</f>
        <v>0</v>
      </c>
      <c r="Q174" s="35">
        <f>'Achtergrond verbruiksprofielen'!$E$132+(Q158-'Achtergrond verbruiksprofielen'!$E$130)*('Achtergrond verbruiksprofielen'!$F$132-'Achtergrond verbruiksprofielen'!$E$132)/('Achtergrond verbruiksprofielen'!$F$130-'Achtergrond verbruiksprofielen'!$E$130)</f>
        <v>0</v>
      </c>
      <c r="R174" s="35">
        <f>'Achtergrond verbruiksprofielen'!$E$132+(R158-'Achtergrond verbruiksprofielen'!$E$130)*('Achtergrond verbruiksprofielen'!$F$132-'Achtergrond verbruiksprofielen'!$E$132)/('Achtergrond verbruiksprofielen'!$F$130-'Achtergrond verbruiksprofielen'!$E$130)</f>
        <v>0</v>
      </c>
      <c r="S174" s="35">
        <f>'Achtergrond verbruiksprofielen'!$E$132+(S158-'Achtergrond verbruiksprofielen'!$E$130)*('Achtergrond verbruiksprofielen'!$F$132-'Achtergrond verbruiksprofielen'!$E$132)/('Achtergrond verbruiksprofielen'!$F$130-'Achtergrond verbruiksprofielen'!$E$130)</f>
        <v>0</v>
      </c>
      <c r="T174" s="35">
        <f>'Achtergrond verbruiksprofielen'!$F$132</f>
        <v>0</v>
      </c>
      <c r="U174" s="35">
        <f>'Achtergrond verbruiksprofielen'!$F$132+(U158-'Achtergrond verbruiksprofielen'!$F$130)*('Achtergrond verbruiksprofielen'!$G$132-'Achtergrond verbruiksprofielen'!$F$132)/('Achtergrond verbruiksprofielen'!$G$130-'Achtergrond verbruiksprofielen'!$F$130)</f>
        <v>0</v>
      </c>
      <c r="V174" s="35">
        <f>'Achtergrond verbruiksprofielen'!$F$132+(V158-'Achtergrond verbruiksprofielen'!$F$130)*('Achtergrond verbruiksprofielen'!$G$132-'Achtergrond verbruiksprofielen'!$F$132)/('Achtergrond verbruiksprofielen'!$G$130-'Achtergrond verbruiksprofielen'!$F$130)</f>
        <v>0</v>
      </c>
      <c r="W174" s="35">
        <f>'Achtergrond verbruiksprofielen'!$F$132+(W158-'Achtergrond verbruiksprofielen'!$F$130)*('Achtergrond verbruiksprofielen'!$G$132-'Achtergrond verbruiksprofielen'!$F$132)/('Achtergrond verbruiksprofielen'!$G$130-'Achtergrond verbruiksprofielen'!$F$130)</f>
        <v>0</v>
      </c>
      <c r="X174" s="35">
        <f>'Achtergrond verbruiksprofielen'!$F$132+(X158-'Achtergrond verbruiksprofielen'!$F$130)*('Achtergrond verbruiksprofielen'!$G$132-'Achtergrond verbruiksprofielen'!$F$132)/('Achtergrond verbruiksprofielen'!$G$130-'Achtergrond verbruiksprofielen'!$F$130)</f>
        <v>0</v>
      </c>
      <c r="Y174" s="35">
        <f>'Achtergrond verbruiksprofielen'!$G$132</f>
        <v>0</v>
      </c>
      <c r="Z174" s="35">
        <f>'Achtergrond verbruiksprofielen'!$G$132+(Z158-'Achtergrond verbruiksprofielen'!$G$130)*('Achtergrond verbruiksprofielen'!$H$132-'Achtergrond verbruiksprofielen'!$G$132)/('Achtergrond verbruiksprofielen'!$H$130-'Achtergrond verbruiksprofielen'!$G$130)</f>
        <v>0</v>
      </c>
      <c r="AA174" s="35">
        <f>'Achtergrond verbruiksprofielen'!$G$132+(AA158-'Achtergrond verbruiksprofielen'!$G$130)*('Achtergrond verbruiksprofielen'!$H$132-'Achtergrond verbruiksprofielen'!$G$132)/('Achtergrond verbruiksprofielen'!$H$130-'Achtergrond verbruiksprofielen'!$G$130)</f>
        <v>0</v>
      </c>
      <c r="AB174" s="35">
        <f>'Achtergrond verbruiksprofielen'!$G$132+(AB158-'Achtergrond verbruiksprofielen'!$G$130)*('Achtergrond verbruiksprofielen'!$H$132-'Achtergrond verbruiksprofielen'!$G$132)/('Achtergrond verbruiksprofielen'!$H$130-'Achtergrond verbruiksprofielen'!$G$130)</f>
        <v>0</v>
      </c>
      <c r="AC174" s="35">
        <f>'Achtergrond verbruiksprofielen'!$G$132+(AC158-'Achtergrond verbruiksprofielen'!$G$130)*('Achtergrond verbruiksprofielen'!$H$132-'Achtergrond verbruiksprofielen'!$G$132)/('Achtergrond verbruiksprofielen'!$H$130-'Achtergrond verbruiksprofielen'!$G$130)</f>
        <v>0</v>
      </c>
      <c r="AD174" s="35">
        <f>'Achtergrond verbruiksprofielen'!$H$132</f>
        <v>0</v>
      </c>
      <c r="AE174" s="35">
        <f>'Achtergrond verbruiksprofielen'!$H$132</f>
        <v>0</v>
      </c>
      <c r="AF174" s="35">
        <f>'Achtergrond verbruiksprofielen'!$H$132</f>
        <v>0</v>
      </c>
      <c r="AG174" s="35">
        <f>'Achtergrond verbruiksprofielen'!$H$132</f>
        <v>0</v>
      </c>
      <c r="AH174" s="35">
        <f>'Achtergrond verbruiksprofielen'!$H$132</f>
        <v>0</v>
      </c>
      <c r="AI174" s="60"/>
      <c r="AJ174" s="60"/>
      <c r="AK174" s="60"/>
    </row>
    <row r="175" spans="1:37" ht="15.6" x14ac:dyDescent="0.3">
      <c r="A175" s="11" t="s">
        <v>87</v>
      </c>
      <c r="B175" s="11"/>
      <c r="C175" s="33"/>
      <c r="D175" s="33" t="s">
        <v>88</v>
      </c>
      <c r="E175" s="361">
        <f>'Achtergrond verbruiksprofielen'!$C$133</f>
        <v>0</v>
      </c>
      <c r="F175" s="361">
        <f>'Achtergrond verbruiksprofielen'!$C$133+(F158-'Achtergrond verbruiksprofielen'!$C$130)*('Achtergrond verbruiksprofielen'!$D$133-'Achtergrond verbruiksprofielen'!$C$133)/('Achtergrond verbruiksprofielen'!$D$130-'Achtergrond verbruiksprofielen'!$C$130)</f>
        <v>0</v>
      </c>
      <c r="G175" s="361">
        <f>'Achtergrond verbruiksprofielen'!$C$133+(G158-'Achtergrond verbruiksprofielen'!$C$130)*('Achtergrond verbruiksprofielen'!$D$133-'Achtergrond verbruiksprofielen'!$C$133)/('Achtergrond verbruiksprofielen'!$D$130-'Achtergrond verbruiksprofielen'!$C$130)</f>
        <v>0</v>
      </c>
      <c r="H175" s="361">
        <f>'Achtergrond verbruiksprofielen'!$C$133+(H158-'Achtergrond verbruiksprofielen'!$C$130)*('Achtergrond verbruiksprofielen'!$D$133-'Achtergrond verbruiksprofielen'!$C$133)/('Achtergrond verbruiksprofielen'!$D$130-'Achtergrond verbruiksprofielen'!$C$130)</f>
        <v>0</v>
      </c>
      <c r="I175" s="361">
        <f>'Achtergrond verbruiksprofielen'!$C$133+(I158-'Achtergrond verbruiksprofielen'!$C$130)*('Achtergrond verbruiksprofielen'!$D$133-'Achtergrond verbruiksprofielen'!$C$133)/('Achtergrond verbruiksprofielen'!$D$130-'Achtergrond verbruiksprofielen'!$C$130)</f>
        <v>0</v>
      </c>
      <c r="J175" s="361">
        <f>'Achtergrond verbruiksprofielen'!$D$133</f>
        <v>0</v>
      </c>
      <c r="K175" s="361">
        <f>'Achtergrond verbruiksprofielen'!$D$133+(K158-'Achtergrond verbruiksprofielen'!$D$130)*('Achtergrond verbruiksprofielen'!$E$133-'Achtergrond verbruiksprofielen'!$D$133)/('Achtergrond verbruiksprofielen'!$E$130-'Achtergrond verbruiksprofielen'!$D$130)</f>
        <v>0</v>
      </c>
      <c r="L175" s="361">
        <f>'Achtergrond verbruiksprofielen'!$D$133+(L158-'Achtergrond verbruiksprofielen'!$D$130)*('Achtergrond verbruiksprofielen'!$E$133-'Achtergrond verbruiksprofielen'!$D$133)/('Achtergrond verbruiksprofielen'!$E$130-'Achtergrond verbruiksprofielen'!$D$130)</f>
        <v>0</v>
      </c>
      <c r="M175" s="361">
        <f>'Achtergrond verbruiksprofielen'!$D$133+(M158-'Achtergrond verbruiksprofielen'!$D$130)*('Achtergrond verbruiksprofielen'!$E$133-'Achtergrond verbruiksprofielen'!$D$133)/('Achtergrond verbruiksprofielen'!$E$130-'Achtergrond verbruiksprofielen'!$D$130)</f>
        <v>0</v>
      </c>
      <c r="N175" s="361">
        <f>'Achtergrond verbruiksprofielen'!$D$133+(N158-'Achtergrond verbruiksprofielen'!$D$130)*('Achtergrond verbruiksprofielen'!$E$133-'Achtergrond verbruiksprofielen'!$D$133)/('Achtergrond verbruiksprofielen'!$E$130-'Achtergrond verbruiksprofielen'!$D$130)</f>
        <v>0</v>
      </c>
      <c r="O175" s="361">
        <f>'Achtergrond verbruiksprofielen'!$E$133</f>
        <v>0</v>
      </c>
      <c r="P175" s="361">
        <f>'Achtergrond verbruiksprofielen'!$E$133+(P158-'Achtergrond verbruiksprofielen'!$E$130)*('Achtergrond verbruiksprofielen'!$F$133-'Achtergrond verbruiksprofielen'!$E$133)/('Achtergrond verbruiksprofielen'!$F$130-'Achtergrond verbruiksprofielen'!$E$130)</f>
        <v>0</v>
      </c>
      <c r="Q175" s="361">
        <f>'Achtergrond verbruiksprofielen'!$E$133+(Q158-'Achtergrond verbruiksprofielen'!$E$130)*('Achtergrond verbruiksprofielen'!$F$133-'Achtergrond verbruiksprofielen'!$E$133)/('Achtergrond verbruiksprofielen'!$F$130-'Achtergrond verbruiksprofielen'!$E$130)</f>
        <v>0</v>
      </c>
      <c r="R175" s="361">
        <f>'Achtergrond verbruiksprofielen'!$E$133+(R158-'Achtergrond verbruiksprofielen'!$E$130)*('Achtergrond verbruiksprofielen'!$F$133-'Achtergrond verbruiksprofielen'!$E$133)/('Achtergrond verbruiksprofielen'!$F$130-'Achtergrond verbruiksprofielen'!$E$130)</f>
        <v>0</v>
      </c>
      <c r="S175" s="361">
        <f>'Achtergrond verbruiksprofielen'!$E$133+(S158-'Achtergrond verbruiksprofielen'!$E$130)*('Achtergrond verbruiksprofielen'!$F$133-'Achtergrond verbruiksprofielen'!$E$133)/('Achtergrond verbruiksprofielen'!$F$130-'Achtergrond verbruiksprofielen'!$E$130)</f>
        <v>0</v>
      </c>
      <c r="T175" s="361">
        <f>'Achtergrond verbruiksprofielen'!$F$133</f>
        <v>0</v>
      </c>
      <c r="U175" s="361">
        <f>'Achtergrond verbruiksprofielen'!$F$133+(U158-'Achtergrond verbruiksprofielen'!$F$130)*('Achtergrond verbruiksprofielen'!$G$133-'Achtergrond verbruiksprofielen'!$F$133)/('Achtergrond verbruiksprofielen'!$G$130-'Achtergrond verbruiksprofielen'!$F$130)</f>
        <v>0</v>
      </c>
      <c r="V175" s="361">
        <f>'Achtergrond verbruiksprofielen'!$F$133+(V158-'Achtergrond verbruiksprofielen'!$F$130)*('Achtergrond verbruiksprofielen'!$G$133-'Achtergrond verbruiksprofielen'!$F$133)/('Achtergrond verbruiksprofielen'!$G$130-'Achtergrond verbruiksprofielen'!$F$130)</f>
        <v>0</v>
      </c>
      <c r="W175" s="361">
        <f>'Achtergrond verbruiksprofielen'!$F$133+(W158-'Achtergrond verbruiksprofielen'!$F$130)*('Achtergrond verbruiksprofielen'!$G$133-'Achtergrond verbruiksprofielen'!$F$133)/('Achtergrond verbruiksprofielen'!$G$130-'Achtergrond verbruiksprofielen'!$F$130)</f>
        <v>0</v>
      </c>
      <c r="X175" s="361">
        <f>'Achtergrond verbruiksprofielen'!$F$133+(X158-'Achtergrond verbruiksprofielen'!$F$130)*('Achtergrond verbruiksprofielen'!$G$133-'Achtergrond verbruiksprofielen'!$F$133)/('Achtergrond verbruiksprofielen'!$G$130-'Achtergrond verbruiksprofielen'!$F$130)</f>
        <v>0</v>
      </c>
      <c r="Y175" s="361">
        <f>'Achtergrond verbruiksprofielen'!$G$133</f>
        <v>0</v>
      </c>
      <c r="Z175" s="361">
        <f>'Achtergrond verbruiksprofielen'!$G$133+(Z158-'Achtergrond verbruiksprofielen'!$G$130)*('Achtergrond verbruiksprofielen'!$H$133-'Achtergrond verbruiksprofielen'!$G$133)/('Achtergrond verbruiksprofielen'!$H$130-'Achtergrond verbruiksprofielen'!$G$130)</f>
        <v>0</v>
      </c>
      <c r="AA175" s="361">
        <f>'Achtergrond verbruiksprofielen'!$G$133+(AA158-'Achtergrond verbruiksprofielen'!$G$130)*('Achtergrond verbruiksprofielen'!$H$133-'Achtergrond verbruiksprofielen'!$G$133)/('Achtergrond verbruiksprofielen'!$H$130-'Achtergrond verbruiksprofielen'!$G$130)</f>
        <v>0</v>
      </c>
      <c r="AB175" s="361">
        <f>'Achtergrond verbruiksprofielen'!$G$133+(AB158-'Achtergrond verbruiksprofielen'!$G$130)*('Achtergrond verbruiksprofielen'!$H$133-'Achtergrond verbruiksprofielen'!$G$133)/('Achtergrond verbruiksprofielen'!$H$130-'Achtergrond verbruiksprofielen'!$G$130)</f>
        <v>0</v>
      </c>
      <c r="AC175" s="361">
        <f>'Achtergrond verbruiksprofielen'!$G$133+(AC158-'Achtergrond verbruiksprofielen'!$G$130)*('Achtergrond verbruiksprofielen'!$H$133-'Achtergrond verbruiksprofielen'!$G$133)/('Achtergrond verbruiksprofielen'!$H$130-'Achtergrond verbruiksprofielen'!$G$130)</f>
        <v>0</v>
      </c>
      <c r="AD175" s="361">
        <f>'Achtergrond verbruiksprofielen'!$H$133</f>
        <v>0</v>
      </c>
      <c r="AE175" s="361">
        <f>'Achtergrond verbruiksprofielen'!$H$133</f>
        <v>0</v>
      </c>
      <c r="AF175" s="361">
        <f>'Achtergrond verbruiksprofielen'!$H$133</f>
        <v>0</v>
      </c>
      <c r="AG175" s="361">
        <f>'Achtergrond verbruiksprofielen'!$H$133</f>
        <v>0</v>
      </c>
      <c r="AH175" s="361">
        <f>'Achtergrond verbruiksprofielen'!$H$133</f>
        <v>0</v>
      </c>
      <c r="AI175" s="60"/>
      <c r="AJ175" s="60"/>
      <c r="AK175" s="60"/>
    </row>
    <row r="176" spans="1:37" ht="15" thickBot="1" x14ac:dyDescent="0.35">
      <c r="A176" s="222"/>
      <c r="B176" s="222"/>
      <c r="C176" s="222"/>
      <c r="D176" s="222"/>
      <c r="E176" s="342"/>
      <c r="F176" s="342"/>
      <c r="G176" s="342"/>
      <c r="H176" s="342"/>
      <c r="I176" s="342"/>
      <c r="J176" s="342"/>
      <c r="K176" s="342"/>
      <c r="L176" s="342"/>
      <c r="M176" s="342"/>
      <c r="N176" s="342"/>
      <c r="O176" s="342"/>
      <c r="P176" s="342"/>
      <c r="Q176" s="342"/>
      <c r="R176" s="342"/>
      <c r="S176" s="342"/>
      <c r="T176" s="342"/>
      <c r="U176" s="342"/>
      <c r="V176" s="342"/>
      <c r="W176" s="342"/>
      <c r="X176" s="342"/>
      <c r="Y176" s="342"/>
      <c r="Z176" s="342"/>
      <c r="AA176" s="342"/>
      <c r="AB176" s="342"/>
      <c r="AC176" s="342"/>
      <c r="AD176" s="342"/>
      <c r="AE176" s="342"/>
      <c r="AF176" s="342"/>
      <c r="AG176" s="342"/>
      <c r="AH176" s="342"/>
      <c r="AI176" s="222"/>
      <c r="AJ176" s="60"/>
      <c r="AK176" s="60"/>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4540E-D83D-4BD7-999A-5505ED8D4BA4}">
  <sheetPr>
    <tabColor theme="5" tint="0.59999389629810485"/>
  </sheetPr>
  <dimension ref="A1:AY357"/>
  <sheetViews>
    <sheetView showGridLines="0" topLeftCell="A95" zoomScale="85" zoomScaleNormal="85" workbookViewId="0">
      <selection activeCell="B113" sqref="B113"/>
    </sheetView>
  </sheetViews>
  <sheetFormatPr defaultColWidth="8.6640625" defaultRowHeight="11.4" x14ac:dyDescent="0.2"/>
  <cols>
    <col min="1" max="1" width="50.6640625" style="234" customWidth="1"/>
    <col min="2" max="2" width="25.33203125" style="235" customWidth="1"/>
    <col min="3" max="3" width="17.33203125" style="234" customWidth="1"/>
    <col min="4" max="4" width="13.6640625" style="234" customWidth="1"/>
    <col min="5" max="5" width="17.6640625" style="234" customWidth="1"/>
    <col min="6" max="6" width="15.6640625" style="234" bestFit="1" customWidth="1"/>
    <col min="7" max="7" width="13.6640625" style="234" customWidth="1"/>
    <col min="8" max="15" width="14.33203125" style="234" customWidth="1"/>
    <col min="16" max="16" width="18.33203125" style="234" bestFit="1" customWidth="1"/>
    <col min="17" max="17" width="14.33203125" style="234" customWidth="1"/>
    <col min="18" max="18" width="13.6640625" style="234" customWidth="1"/>
    <col min="19" max="31" width="18.33203125" style="234" bestFit="1" customWidth="1"/>
    <col min="32" max="32" width="13.44140625" style="234" customWidth="1"/>
    <col min="33" max="37" width="18.33203125" style="234" bestFit="1" customWidth="1"/>
    <col min="38" max="38" width="9.33203125" style="234" bestFit="1" customWidth="1"/>
    <col min="39" max="16384" width="8.6640625" style="234"/>
  </cols>
  <sheetData>
    <row r="1" spans="1:51" s="128" customFormat="1" ht="14.25" customHeight="1" x14ac:dyDescent="0.2">
      <c r="A1" s="8"/>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5"/>
      <c r="AM1" s="5"/>
      <c r="AN1" s="5"/>
      <c r="AO1" s="5"/>
      <c r="AP1" s="5"/>
      <c r="AQ1" s="5"/>
      <c r="AR1" s="5"/>
      <c r="AS1" s="5"/>
      <c r="AT1" s="5"/>
      <c r="AU1" s="5"/>
      <c r="AV1" s="5"/>
      <c r="AW1" s="5"/>
      <c r="AX1" s="5"/>
      <c r="AY1" s="5"/>
    </row>
    <row r="2" spans="1:51" s="129" customFormat="1" ht="28.2" customHeight="1" x14ac:dyDescent="0.3">
      <c r="A2" s="10" t="s">
        <v>179</v>
      </c>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5"/>
      <c r="AM2" s="5"/>
      <c r="AN2" s="5"/>
      <c r="AO2" s="5"/>
      <c r="AP2" s="5"/>
      <c r="AQ2" s="5"/>
      <c r="AR2" s="5"/>
      <c r="AS2" s="5"/>
      <c r="AT2" s="5"/>
      <c r="AU2" s="5"/>
      <c r="AV2" s="5"/>
      <c r="AW2" s="5"/>
      <c r="AX2" s="5"/>
      <c r="AY2" s="5"/>
    </row>
    <row r="3" spans="1:51" s="128" customFormat="1" ht="14.25" customHeight="1" x14ac:dyDescent="0.2">
      <c r="A3" s="9"/>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5"/>
      <c r="AM3" s="5"/>
      <c r="AN3" s="5"/>
      <c r="AO3" s="5"/>
      <c r="AP3" s="5"/>
      <c r="AQ3" s="5"/>
      <c r="AR3" s="5"/>
      <c r="AS3" s="5"/>
      <c r="AT3" s="5"/>
      <c r="AU3" s="5"/>
      <c r="AV3" s="5"/>
      <c r="AW3" s="5"/>
      <c r="AX3" s="5"/>
      <c r="AY3" s="5"/>
    </row>
    <row r="4" spans="1:51" s="76" customFormat="1" ht="14.25" customHeight="1" x14ac:dyDescent="0.3">
      <c r="A4" s="21"/>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row>
    <row r="5" spans="1:51" s="76" customFormat="1" ht="14.25" customHeight="1" x14ac:dyDescent="0.3">
      <c r="A5" s="21"/>
      <c r="B5" s="33"/>
      <c r="C5" s="21"/>
      <c r="D5" s="21"/>
      <c r="E5" s="21"/>
      <c r="F5" s="21"/>
      <c r="G5" s="21"/>
      <c r="H5" s="21"/>
      <c r="I5" s="21"/>
      <c r="J5" s="21"/>
      <c r="K5" s="21"/>
      <c r="L5" s="21"/>
      <c r="M5" s="21"/>
      <c r="N5" s="21"/>
      <c r="O5" s="21"/>
      <c r="P5" s="21"/>
      <c r="Q5" s="21"/>
    </row>
    <row r="6" spans="1:51" s="21" customFormat="1" ht="14.25" customHeight="1" x14ac:dyDescent="0.3">
      <c r="A6" s="54" t="s">
        <v>33</v>
      </c>
      <c r="B6" s="280" t="str">
        <f>DASHBOARD!C26</f>
        <v xml:space="preserve">MVR </v>
      </c>
      <c r="C6" s="174"/>
      <c r="D6" s="282"/>
      <c r="E6" s="21" t="s">
        <v>180</v>
      </c>
      <c r="Q6" s="77"/>
      <c r="R6" s="78"/>
    </row>
    <row r="7" spans="1:51" s="21" customFormat="1" ht="14.25" customHeight="1" x14ac:dyDescent="0.3">
      <c r="A7" s="54" t="s">
        <v>36</v>
      </c>
      <c r="B7" s="281" t="str">
        <f>DASHBOARD!$C$27</f>
        <v>Nee</v>
      </c>
      <c r="C7" s="163"/>
      <c r="D7" s="172"/>
      <c r="E7" s="21" t="s">
        <v>181</v>
      </c>
      <c r="F7" s="80"/>
      <c r="G7" s="80"/>
      <c r="H7" s="80"/>
      <c r="Q7" s="77"/>
      <c r="R7" s="78"/>
    </row>
    <row r="8" spans="1:51" s="21" customFormat="1" ht="14.25" customHeight="1" x14ac:dyDescent="0.3">
      <c r="A8" s="54" t="s">
        <v>39</v>
      </c>
      <c r="B8" s="281" t="str">
        <f>DASHBOARD!$C$28</f>
        <v>BASELOAD</v>
      </c>
      <c r="C8" s="163"/>
      <c r="D8" s="80"/>
      <c r="E8" s="80"/>
      <c r="F8" s="80"/>
      <c r="G8" s="80"/>
      <c r="H8" s="80"/>
      <c r="Q8" s="77"/>
      <c r="R8" s="78"/>
    </row>
    <row r="9" spans="1:51" s="21" customFormat="1" ht="14.25" customHeight="1" x14ac:dyDescent="0.3">
      <c r="A9" s="279" t="s">
        <v>182</v>
      </c>
      <c r="B9" s="278">
        <f>IF($B$6="","",_xlfn.XLOOKUP($B$6,tech_param[Technologie],tech_param[ID]))</f>
        <v>3</v>
      </c>
      <c r="C9" s="160"/>
      <c r="Q9" s="77"/>
    </row>
    <row r="10" spans="1:51" s="21" customFormat="1" ht="14.25" customHeight="1" x14ac:dyDescent="0.3">
      <c r="A10" s="237" t="s">
        <v>47</v>
      </c>
      <c r="B10" s="329">
        <f>DASHBOARD!$C$34</f>
        <v>15</v>
      </c>
      <c r="C10" s="206" t="s">
        <v>48</v>
      </c>
      <c r="N10" s="81"/>
      <c r="O10" s="77"/>
      <c r="P10" s="77"/>
      <c r="Q10" s="82"/>
    </row>
    <row r="11" spans="1:51" s="21" customFormat="1" ht="15.6" customHeight="1" x14ac:dyDescent="0.3">
      <c r="A11" s="20"/>
      <c r="B11" s="20"/>
      <c r="C11" s="177"/>
    </row>
    <row r="12" spans="1:51" s="21" customFormat="1" ht="15.6" customHeight="1" x14ac:dyDescent="0.3">
      <c r="A12" s="177"/>
      <c r="B12" s="20"/>
      <c r="C12" s="198"/>
      <c r="D12" s="84"/>
      <c r="E12" s="84"/>
      <c r="F12" s="84"/>
      <c r="G12" s="84"/>
      <c r="H12" s="84"/>
      <c r="I12" s="84"/>
      <c r="J12" s="84"/>
      <c r="K12" s="84"/>
      <c r="L12" s="84"/>
      <c r="M12" s="84"/>
      <c r="N12" s="84"/>
      <c r="O12" s="84"/>
      <c r="P12" s="84"/>
      <c r="Q12" s="84"/>
    </row>
    <row r="13" spans="1:51" s="38" customFormat="1" ht="18" x14ac:dyDescent="0.3">
      <c r="A13" s="12" t="s">
        <v>183</v>
      </c>
      <c r="B13" s="37"/>
      <c r="C13" s="37"/>
      <c r="D13" s="37"/>
      <c r="E13" s="37"/>
      <c r="F13" s="37"/>
      <c r="G13" s="37"/>
      <c r="H13" s="37"/>
      <c r="I13" s="37"/>
      <c r="J13" s="37"/>
    </row>
    <row r="14" spans="1:51" s="21" customFormat="1" ht="14.25" customHeight="1" x14ac:dyDescent="0.3">
      <c r="A14" s="406" t="s">
        <v>15</v>
      </c>
      <c r="B14" s="406"/>
      <c r="C14" s="406"/>
      <c r="D14" s="406"/>
      <c r="E14" s="406"/>
      <c r="F14" s="406"/>
      <c r="G14" s="406"/>
      <c r="H14" s="406"/>
      <c r="I14" s="406"/>
      <c r="J14" s="406"/>
      <c r="K14" s="406"/>
      <c r="L14" s="406"/>
      <c r="M14" s="406"/>
      <c r="N14" s="406"/>
      <c r="O14" s="406"/>
      <c r="P14" s="406"/>
      <c r="Q14" s="406"/>
      <c r="R14" s="406"/>
      <c r="S14" s="406"/>
      <c r="T14" s="406"/>
      <c r="U14" s="406"/>
      <c r="V14" s="406"/>
      <c r="W14" s="406"/>
      <c r="X14" s="406"/>
      <c r="Y14" s="406"/>
      <c r="Z14" s="406"/>
      <c r="AA14" s="406"/>
      <c r="AB14" s="406"/>
      <c r="AC14" s="406"/>
      <c r="AD14" s="406"/>
      <c r="AE14" s="406"/>
      <c r="AF14" s="406"/>
      <c r="AG14" s="406"/>
      <c r="AH14" s="406"/>
      <c r="AI14" s="406"/>
      <c r="AJ14" s="406"/>
      <c r="AK14" s="406"/>
      <c r="AL14" s="39"/>
      <c r="AM14" s="39"/>
      <c r="AN14" s="39"/>
      <c r="AO14" s="39"/>
      <c r="AP14" s="39"/>
      <c r="AQ14" s="39"/>
      <c r="AR14" s="39"/>
      <c r="AS14" s="39"/>
      <c r="AT14" s="39"/>
      <c r="AU14" s="39"/>
      <c r="AV14" s="76"/>
      <c r="AW14" s="76"/>
      <c r="AX14" s="76"/>
      <c r="AY14" s="76"/>
    </row>
    <row r="15" spans="1:51" s="21" customFormat="1" ht="14.25" customHeight="1" x14ac:dyDescent="0.3">
      <c r="A15" s="85"/>
      <c r="B15" s="33"/>
    </row>
    <row r="16" spans="1:51" s="21" customFormat="1" ht="14.25" customHeight="1" x14ac:dyDescent="0.3">
      <c r="A16" s="86"/>
      <c r="B16" s="33"/>
      <c r="H16" s="407" t="s">
        <v>184</v>
      </c>
      <c r="I16" s="407"/>
      <c r="J16" s="407"/>
      <c r="K16" s="407"/>
      <c r="L16" s="407"/>
      <c r="M16" s="407"/>
      <c r="N16" s="407"/>
      <c r="O16" s="407"/>
      <c r="P16" s="407"/>
      <c r="Q16" s="407"/>
    </row>
    <row r="17" spans="1:42" s="130" customFormat="1" ht="14.25" customHeight="1" x14ac:dyDescent="0.3">
      <c r="A17" s="139" t="s">
        <v>185</v>
      </c>
      <c r="B17" s="139"/>
      <c r="C17" s="140"/>
      <c r="D17" s="108">
        <v>-3</v>
      </c>
      <c r="E17" s="108">
        <v>-2</v>
      </c>
      <c r="F17" s="108">
        <v>-1</v>
      </c>
      <c r="G17" s="108">
        <v>0</v>
      </c>
      <c r="H17" s="108">
        <v>1</v>
      </c>
      <c r="I17" s="108">
        <v>2</v>
      </c>
      <c r="J17" s="108">
        <v>3</v>
      </c>
      <c r="K17" s="108">
        <v>4</v>
      </c>
      <c r="L17" s="108">
        <v>5</v>
      </c>
      <c r="M17" s="108">
        <v>6</v>
      </c>
      <c r="N17" s="108">
        <v>7</v>
      </c>
      <c r="O17" s="108">
        <v>8</v>
      </c>
      <c r="P17" s="108">
        <v>9</v>
      </c>
      <c r="Q17" s="108">
        <v>10</v>
      </c>
      <c r="R17" s="108">
        <v>11</v>
      </c>
      <c r="S17" s="108">
        <v>12</v>
      </c>
      <c r="T17" s="108">
        <v>13</v>
      </c>
      <c r="U17" s="108">
        <v>14</v>
      </c>
      <c r="V17" s="108">
        <v>15</v>
      </c>
      <c r="W17" s="108">
        <v>16</v>
      </c>
      <c r="X17" s="108">
        <v>17</v>
      </c>
      <c r="Y17" s="108">
        <v>18</v>
      </c>
      <c r="Z17" s="108">
        <v>19</v>
      </c>
      <c r="AA17" s="108">
        <v>20</v>
      </c>
      <c r="AB17" s="108">
        <v>21</v>
      </c>
      <c r="AC17" s="108">
        <v>22</v>
      </c>
      <c r="AD17" s="108">
        <v>23</v>
      </c>
      <c r="AE17" s="108">
        <v>24</v>
      </c>
      <c r="AF17" s="108">
        <v>25</v>
      </c>
      <c r="AG17" s="108">
        <v>26</v>
      </c>
      <c r="AH17" s="108">
        <v>27</v>
      </c>
      <c r="AI17" s="108">
        <v>28</v>
      </c>
      <c r="AJ17" s="108">
        <v>29</v>
      </c>
      <c r="AK17" s="108">
        <v>30</v>
      </c>
    </row>
    <row r="18" spans="1:42" s="90" customFormat="1" ht="31.5" customHeight="1" x14ac:dyDescent="0.3">
      <c r="A18" s="164" t="s">
        <v>186</v>
      </c>
      <c r="B18" s="165" t="s">
        <v>187</v>
      </c>
      <c r="C18" s="164" t="s">
        <v>81</v>
      </c>
      <c r="D18" s="89"/>
      <c r="E18" s="89"/>
      <c r="F18" s="89"/>
      <c r="G18" s="89"/>
      <c r="H18" s="89"/>
      <c r="I18" s="89"/>
      <c r="J18" s="89"/>
      <c r="K18" s="89"/>
      <c r="L18" s="89"/>
      <c r="M18" s="89"/>
      <c r="N18" s="89"/>
      <c r="O18" s="89"/>
      <c r="P18" s="89"/>
      <c r="Q18" s="89"/>
      <c r="AL18" s="21"/>
      <c r="AM18" s="21"/>
      <c r="AN18" s="21"/>
      <c r="AO18" s="21"/>
      <c r="AP18" s="21"/>
    </row>
    <row r="19" spans="1:42" s="21" customFormat="1" ht="18" x14ac:dyDescent="0.3">
      <c r="A19" s="21" t="s">
        <v>43</v>
      </c>
      <c r="B19" s="74">
        <f>DASHBOARD!$C$32</f>
        <v>1000</v>
      </c>
      <c r="C19" s="21" t="s">
        <v>44</v>
      </c>
    </row>
    <row r="20" spans="1:42" s="21" customFormat="1" ht="14.25" customHeight="1" x14ac:dyDescent="0.3">
      <c r="A20" s="21" t="str">
        <f>IF($B$9=1,"Thermisch rendement","COP")</f>
        <v>COP</v>
      </c>
      <c r="B20" s="327">
        <f>DASHBOARD!C33</f>
        <v>6</v>
      </c>
      <c r="C20" s="21" t="str">
        <f>IF($B$9=1,"%","")</f>
        <v/>
      </c>
      <c r="H20" s="285">
        <f t="shared" ref="H20:AK20" si="0">IF(H17&gt;ev_periode_jaar,0,IF($B$9=1,$B$20/100,$B$20))</f>
        <v>6</v>
      </c>
      <c r="I20" s="285">
        <f t="shared" si="0"/>
        <v>6</v>
      </c>
      <c r="J20" s="285">
        <f t="shared" si="0"/>
        <v>6</v>
      </c>
      <c r="K20" s="285">
        <f t="shared" si="0"/>
        <v>6</v>
      </c>
      <c r="L20" s="285">
        <f t="shared" si="0"/>
        <v>6</v>
      </c>
      <c r="M20" s="285">
        <f t="shared" si="0"/>
        <v>6</v>
      </c>
      <c r="N20" s="285">
        <f t="shared" si="0"/>
        <v>6</v>
      </c>
      <c r="O20" s="285">
        <f t="shared" si="0"/>
        <v>6</v>
      </c>
      <c r="P20" s="285">
        <f t="shared" si="0"/>
        <v>6</v>
      </c>
      <c r="Q20" s="285">
        <f t="shared" si="0"/>
        <v>6</v>
      </c>
      <c r="R20" s="285">
        <f t="shared" si="0"/>
        <v>6</v>
      </c>
      <c r="S20" s="285">
        <f t="shared" si="0"/>
        <v>6</v>
      </c>
      <c r="T20" s="285">
        <f t="shared" si="0"/>
        <v>6</v>
      </c>
      <c r="U20" s="285">
        <f t="shared" si="0"/>
        <v>6</v>
      </c>
      <c r="V20" s="285">
        <f t="shared" si="0"/>
        <v>6</v>
      </c>
      <c r="W20" s="285">
        <f t="shared" si="0"/>
        <v>0</v>
      </c>
      <c r="X20" s="285">
        <f t="shared" si="0"/>
        <v>0</v>
      </c>
      <c r="Y20" s="285">
        <f t="shared" si="0"/>
        <v>0</v>
      </c>
      <c r="Z20" s="285">
        <f t="shared" si="0"/>
        <v>0</v>
      </c>
      <c r="AA20" s="285">
        <f t="shared" si="0"/>
        <v>0</v>
      </c>
      <c r="AB20" s="285">
        <f t="shared" si="0"/>
        <v>0</v>
      </c>
      <c r="AC20" s="285">
        <f t="shared" si="0"/>
        <v>0</v>
      </c>
      <c r="AD20" s="285">
        <f t="shared" si="0"/>
        <v>0</v>
      </c>
      <c r="AE20" s="285">
        <f t="shared" si="0"/>
        <v>0</v>
      </c>
      <c r="AF20" s="285">
        <f t="shared" si="0"/>
        <v>0</v>
      </c>
      <c r="AG20" s="285">
        <f t="shared" si="0"/>
        <v>0</v>
      </c>
      <c r="AH20" s="285">
        <f t="shared" si="0"/>
        <v>0</v>
      </c>
      <c r="AI20" s="285">
        <f t="shared" si="0"/>
        <v>0</v>
      </c>
      <c r="AJ20" s="285">
        <f t="shared" si="0"/>
        <v>0</v>
      </c>
      <c r="AK20" s="285">
        <f t="shared" si="0"/>
        <v>0</v>
      </c>
    </row>
    <row r="21" spans="1:42" s="21" customFormat="1" ht="14.25" customHeight="1" x14ac:dyDescent="0.3">
      <c r="B21" s="91"/>
    </row>
    <row r="22" spans="1:42" s="21" customFormat="1" ht="14.25" customHeight="1" x14ac:dyDescent="0.3">
      <c r="A22" s="76" t="s">
        <v>188</v>
      </c>
      <c r="B22" s="132">
        <f>IF($B$9=1,B20/100*B19,B20*B19)</f>
        <v>6000</v>
      </c>
      <c r="C22" s="21" t="s">
        <v>189</v>
      </c>
      <c r="H22" s="328">
        <f t="shared" ref="H22:AK22" si="1">IF(H17&gt;ev_periode_jaar,0,$B$22)</f>
        <v>6000</v>
      </c>
      <c r="I22" s="21">
        <f t="shared" si="1"/>
        <v>6000</v>
      </c>
      <c r="J22" s="21">
        <f t="shared" si="1"/>
        <v>6000</v>
      </c>
      <c r="K22" s="21">
        <f t="shared" si="1"/>
        <v>6000</v>
      </c>
      <c r="L22" s="21">
        <f t="shared" si="1"/>
        <v>6000</v>
      </c>
      <c r="M22" s="21">
        <f t="shared" si="1"/>
        <v>6000</v>
      </c>
      <c r="N22" s="21">
        <f t="shared" si="1"/>
        <v>6000</v>
      </c>
      <c r="O22" s="21">
        <f t="shared" si="1"/>
        <v>6000</v>
      </c>
      <c r="P22" s="21">
        <f t="shared" si="1"/>
        <v>6000</v>
      </c>
      <c r="Q22" s="21">
        <f t="shared" si="1"/>
        <v>6000</v>
      </c>
      <c r="R22" s="21">
        <f t="shared" si="1"/>
        <v>6000</v>
      </c>
      <c r="S22" s="21">
        <f t="shared" si="1"/>
        <v>6000</v>
      </c>
      <c r="T22" s="21">
        <f t="shared" si="1"/>
        <v>6000</v>
      </c>
      <c r="U22" s="21">
        <f t="shared" si="1"/>
        <v>6000</v>
      </c>
      <c r="V22" s="21">
        <f t="shared" si="1"/>
        <v>6000</v>
      </c>
      <c r="W22" s="21">
        <f t="shared" si="1"/>
        <v>0</v>
      </c>
      <c r="X22" s="21">
        <f t="shared" si="1"/>
        <v>0</v>
      </c>
      <c r="Y22" s="21">
        <f t="shared" si="1"/>
        <v>0</v>
      </c>
      <c r="Z22" s="21">
        <f t="shared" si="1"/>
        <v>0</v>
      </c>
      <c r="AA22" s="21">
        <f t="shared" si="1"/>
        <v>0</v>
      </c>
      <c r="AB22" s="21">
        <f t="shared" si="1"/>
        <v>0</v>
      </c>
      <c r="AC22" s="21">
        <f t="shared" si="1"/>
        <v>0</v>
      </c>
      <c r="AD22" s="21">
        <f t="shared" si="1"/>
        <v>0</v>
      </c>
      <c r="AE22" s="21">
        <f t="shared" si="1"/>
        <v>0</v>
      </c>
      <c r="AF22" s="21">
        <f t="shared" si="1"/>
        <v>0</v>
      </c>
      <c r="AG22" s="21">
        <f t="shared" si="1"/>
        <v>0</v>
      </c>
      <c r="AH22" s="21">
        <f t="shared" si="1"/>
        <v>0</v>
      </c>
      <c r="AI22" s="21">
        <f t="shared" si="1"/>
        <v>0</v>
      </c>
      <c r="AJ22" s="21">
        <f t="shared" si="1"/>
        <v>0</v>
      </c>
      <c r="AK22" s="21">
        <f t="shared" si="1"/>
        <v>0</v>
      </c>
    </row>
    <row r="23" spans="1:42" s="21" customFormat="1" ht="14.25" customHeight="1" x14ac:dyDescent="0.3"/>
    <row r="24" spans="1:42" s="21" customFormat="1" ht="14.25" customHeight="1" x14ac:dyDescent="0.3">
      <c r="A24" s="21" t="s">
        <v>190</v>
      </c>
      <c r="B24" s="166">
        <f>IF($B$6="","",_xlfn.XLOOKUP($B$6,tech_param[Technologie],tech_param[Maximum aantal vollasturen]))</f>
        <v>8000</v>
      </c>
      <c r="C24" s="21" t="s">
        <v>83</v>
      </c>
    </row>
    <row r="25" spans="1:42" s="21" customFormat="1" ht="14.25" customHeight="1" x14ac:dyDescent="0.3">
      <c r="A25" s="21" t="s">
        <v>87</v>
      </c>
      <c r="B25" s="166"/>
      <c r="C25" s="21" t="s">
        <v>83</v>
      </c>
      <c r="H25" s="167">
        <f>IF(H17&gt;ev_periode_jaar,0,Achtergrondparameters!C$29)</f>
        <v>8000</v>
      </c>
      <c r="I25" s="167">
        <f>IF(I17&gt;ev_periode_jaar,0,Achtergrondparameters!D$29)</f>
        <v>8000</v>
      </c>
      <c r="J25" s="167">
        <f>IF(J17&gt;ev_periode_jaar,0,Achtergrondparameters!E$29)</f>
        <v>8000</v>
      </c>
      <c r="K25" s="167">
        <f>IF(K17&gt;ev_periode_jaar,0,Achtergrondparameters!F$29)</f>
        <v>8000</v>
      </c>
      <c r="L25" s="167">
        <f>IF(L17&gt;ev_periode_jaar,0,Achtergrondparameters!G$29)</f>
        <v>8000</v>
      </c>
      <c r="M25" s="167">
        <f>IF(M17&gt;ev_periode_jaar,0,Achtergrondparameters!H$29)</f>
        <v>8000</v>
      </c>
      <c r="N25" s="167">
        <f>IF(N17&gt;ev_periode_jaar,0,Achtergrondparameters!I$29)</f>
        <v>8000</v>
      </c>
      <c r="O25" s="167">
        <f>IF(O17&gt;ev_periode_jaar,0,Achtergrondparameters!J$29)</f>
        <v>8000</v>
      </c>
      <c r="P25" s="167">
        <f>IF(P17&gt;ev_periode_jaar,0,Achtergrondparameters!K$29)</f>
        <v>8000</v>
      </c>
      <c r="Q25" s="167">
        <f>IF(Q17&gt;ev_periode_jaar,0,Achtergrondparameters!L$29)</f>
        <v>8000</v>
      </c>
      <c r="R25" s="167">
        <f>IF(R17&gt;ev_periode_jaar,0,Achtergrondparameters!M$29)</f>
        <v>8000</v>
      </c>
      <c r="S25" s="167">
        <f>IF(S17&gt;ev_periode_jaar,0,Achtergrondparameters!N$29)</f>
        <v>8000</v>
      </c>
      <c r="T25" s="167">
        <f>IF(T17&gt;ev_periode_jaar,0,Achtergrondparameters!O$29)</f>
        <v>8000</v>
      </c>
      <c r="U25" s="167">
        <f>IF(U17&gt;ev_periode_jaar,0,Achtergrondparameters!P$29)</f>
        <v>8000</v>
      </c>
      <c r="V25" s="167">
        <f>IF(V17&gt;ev_periode_jaar,0,Achtergrondparameters!Q$29)</f>
        <v>8000</v>
      </c>
      <c r="W25" s="167">
        <f>IF(W17&gt;ev_periode_jaar,0,Achtergrondparameters!R$29)</f>
        <v>0</v>
      </c>
      <c r="X25" s="167">
        <f>IF(X17&gt;ev_periode_jaar,0,Achtergrondparameters!S$29)</f>
        <v>0</v>
      </c>
      <c r="Y25" s="167">
        <f>IF(Y17&gt;ev_periode_jaar,0,Achtergrondparameters!T$29)</f>
        <v>0</v>
      </c>
      <c r="Z25" s="167">
        <f>IF(Z17&gt;ev_periode_jaar,0,Achtergrondparameters!U$29)</f>
        <v>0</v>
      </c>
      <c r="AA25" s="167">
        <f>IF(AA17&gt;ev_periode_jaar,0,Achtergrondparameters!V$29)</f>
        <v>0</v>
      </c>
      <c r="AB25" s="167">
        <f>IF(AB17&gt;ev_periode_jaar,0,Achtergrondparameters!W$29)</f>
        <v>0</v>
      </c>
      <c r="AC25" s="167">
        <f>IF(AC17&gt;ev_periode_jaar,0,Achtergrondparameters!X$29)</f>
        <v>0</v>
      </c>
      <c r="AD25" s="167">
        <f>IF(AD17&gt;ev_periode_jaar,0,Achtergrondparameters!Y$29)</f>
        <v>0</v>
      </c>
      <c r="AE25" s="167">
        <f>IF(AE17&gt;ev_periode_jaar,0,Achtergrondparameters!Z$29)</f>
        <v>0</v>
      </c>
      <c r="AF25" s="167">
        <f>IF(AF17&gt;ev_periode_jaar,0,Achtergrondparameters!AA$29)</f>
        <v>0</v>
      </c>
      <c r="AG25" s="167">
        <f>IF(AG17&gt;ev_periode_jaar,0,Achtergrondparameters!AB$29)</f>
        <v>0</v>
      </c>
      <c r="AH25" s="167">
        <f>IF(AH17&gt;ev_periode_jaar,0,Achtergrondparameters!AC$29)</f>
        <v>0</v>
      </c>
      <c r="AI25" s="167">
        <f>IF(AI17&gt;ev_periode_jaar,0,Achtergrondparameters!AD$29)</f>
        <v>0</v>
      </c>
      <c r="AJ25" s="167">
        <f>IF(AJ17&gt;ev_periode_jaar,0,Achtergrondparameters!AE$29)</f>
        <v>0</v>
      </c>
      <c r="AK25" s="167">
        <f>IF(AK17&gt;ev_periode_jaar,0,Achtergrondparameters!AF$29)</f>
        <v>0</v>
      </c>
    </row>
    <row r="26" spans="1:42" s="27" customFormat="1" ht="14.25" customHeight="1" x14ac:dyDescent="0.3">
      <c r="A26" s="283" t="s">
        <v>191</v>
      </c>
      <c r="B26" s="284"/>
      <c r="C26" s="283" t="s">
        <v>83</v>
      </c>
      <c r="H26" s="284">
        <f>IF(H17&gt;ev_periode_jaar,0,Achtergrondparameters!C$45)</f>
        <v>8000</v>
      </c>
      <c r="I26" s="284">
        <f>IF(I17&gt;ev_periode_jaar,0,Achtergrondparameters!D$45)</f>
        <v>8000</v>
      </c>
      <c r="J26" s="284">
        <f>IF(J17&gt;ev_periode_jaar,0,Achtergrondparameters!E$45)</f>
        <v>8000</v>
      </c>
      <c r="K26" s="284">
        <f>IF(K17&gt;ev_periode_jaar,0,Achtergrondparameters!F$45)</f>
        <v>8000</v>
      </c>
      <c r="L26" s="284">
        <f>IF(L17&gt;ev_periode_jaar,0,Achtergrondparameters!G$45)</f>
        <v>8000</v>
      </c>
      <c r="M26" s="284">
        <f>IF(M17&gt;ev_periode_jaar,0,Achtergrondparameters!H$45)</f>
        <v>8000</v>
      </c>
      <c r="N26" s="284">
        <f>IF(N17&gt;ev_periode_jaar,0,Achtergrondparameters!I$45)</f>
        <v>8000</v>
      </c>
      <c r="O26" s="284">
        <f>IF(O17&gt;ev_periode_jaar,0,Achtergrondparameters!J$45)</f>
        <v>8000</v>
      </c>
      <c r="P26" s="284">
        <f>IF(P17&gt;ev_periode_jaar,0,Achtergrondparameters!K$45)</f>
        <v>8000</v>
      </c>
      <c r="Q26" s="284">
        <f>IF(Q17&gt;ev_periode_jaar,0,Achtergrondparameters!L$45)</f>
        <v>8000</v>
      </c>
      <c r="R26" s="284">
        <f>IF(R17&gt;ev_periode_jaar,0,Achtergrondparameters!M$45)</f>
        <v>8000</v>
      </c>
      <c r="S26" s="284">
        <f>IF(S17&gt;ev_periode_jaar,0,Achtergrondparameters!N$45)</f>
        <v>8000</v>
      </c>
      <c r="T26" s="284">
        <f>IF(T17&gt;ev_periode_jaar,0,Achtergrondparameters!O$45)</f>
        <v>8000</v>
      </c>
      <c r="U26" s="284">
        <f>IF(U17&gt;ev_periode_jaar,0,Achtergrondparameters!P$45)</f>
        <v>8000</v>
      </c>
      <c r="V26" s="284">
        <f>IF(V17&gt;ev_periode_jaar,0,Achtergrondparameters!Q$45)</f>
        <v>8000</v>
      </c>
      <c r="W26" s="284">
        <f>IF(W17&gt;ev_periode_jaar,0,Achtergrondparameters!R$45)</f>
        <v>0</v>
      </c>
      <c r="X26" s="284">
        <f>IF(X17&gt;ev_periode_jaar,0,Achtergrondparameters!S$45)</f>
        <v>0</v>
      </c>
      <c r="Y26" s="284">
        <f>IF(Y17&gt;ev_periode_jaar,0,Achtergrondparameters!T$45)</f>
        <v>0</v>
      </c>
      <c r="Z26" s="284">
        <f>IF(Z17&gt;ev_periode_jaar,0,Achtergrondparameters!U$45)</f>
        <v>0</v>
      </c>
      <c r="AA26" s="284">
        <f>IF(AA17&gt;ev_periode_jaar,0,Achtergrondparameters!V$45)</f>
        <v>0</v>
      </c>
      <c r="AB26" s="284">
        <f>IF(AB17&gt;ev_periode_jaar,0,Achtergrondparameters!W$45)</f>
        <v>0</v>
      </c>
      <c r="AC26" s="284">
        <f>IF(AC17&gt;ev_periode_jaar,0,Achtergrondparameters!X$45)</f>
        <v>0</v>
      </c>
      <c r="AD26" s="284">
        <f>IF(AD17&gt;ev_periode_jaar,0,Achtergrondparameters!Y$45)</f>
        <v>0</v>
      </c>
      <c r="AE26" s="284">
        <f>IF(AE17&gt;ev_periode_jaar,0,Achtergrondparameters!Z$45)</f>
        <v>0</v>
      </c>
      <c r="AF26" s="284">
        <f>IF(AF17&gt;ev_periode_jaar,0,Achtergrondparameters!AA$45)</f>
        <v>0</v>
      </c>
      <c r="AG26" s="284">
        <f>IF(AG17&gt;ev_periode_jaar,0,Achtergrondparameters!AB$45)</f>
        <v>0</v>
      </c>
      <c r="AH26" s="284">
        <f>IF(AH17&gt;ev_periode_jaar,0,Achtergrondparameters!AC$45)</f>
        <v>0</v>
      </c>
      <c r="AI26" s="284">
        <f>IF(AI17&gt;ev_periode_jaar,0,Achtergrondparameters!AD$45)</f>
        <v>0</v>
      </c>
      <c r="AJ26" s="284">
        <f>IF(AJ17&gt;ev_periode_jaar,0,Achtergrondparameters!AE$45)</f>
        <v>0</v>
      </c>
      <c r="AK26" s="284">
        <f>IF(AK17&gt;ev_periode_jaar,0,Achtergrondparameters!AF$45)</f>
        <v>0</v>
      </c>
    </row>
    <row r="27" spans="1:42" s="27" customFormat="1" ht="14.25" customHeight="1" x14ac:dyDescent="0.3">
      <c r="A27" s="283" t="s">
        <v>192</v>
      </c>
      <c r="B27" s="284"/>
      <c r="C27" s="283" t="s">
        <v>83</v>
      </c>
      <c r="H27" s="284">
        <f>IF(H17&gt;ev_periode_jaar,0,Achtergrondparameters!C$58)</f>
        <v>8000</v>
      </c>
      <c r="I27" s="284">
        <f>IF(I17&gt;ev_periode_jaar,0,Achtergrondparameters!D$58)</f>
        <v>8000</v>
      </c>
      <c r="J27" s="284">
        <f>IF(J17&gt;ev_periode_jaar,0,Achtergrondparameters!E$58)</f>
        <v>8000</v>
      </c>
      <c r="K27" s="284">
        <f>IF(K17&gt;ev_periode_jaar,0,Achtergrondparameters!F$58)</f>
        <v>8000</v>
      </c>
      <c r="L27" s="284">
        <f>IF(L17&gt;ev_periode_jaar,0,Achtergrondparameters!G$58)</f>
        <v>8000</v>
      </c>
      <c r="M27" s="284">
        <f>IF(M17&gt;ev_periode_jaar,0,Achtergrondparameters!H$58)</f>
        <v>8000</v>
      </c>
      <c r="N27" s="284">
        <f>IF(N17&gt;ev_periode_jaar,0,Achtergrondparameters!I$58)</f>
        <v>8000</v>
      </c>
      <c r="O27" s="284">
        <f>IF(O17&gt;ev_periode_jaar,0,Achtergrondparameters!J$58)</f>
        <v>8000</v>
      </c>
      <c r="P27" s="284">
        <f>IF(P17&gt;ev_periode_jaar,0,Achtergrondparameters!K$58)</f>
        <v>8000</v>
      </c>
      <c r="Q27" s="284">
        <f>IF(Q17&gt;ev_periode_jaar,0,Achtergrondparameters!L$58)</f>
        <v>8000</v>
      </c>
      <c r="R27" s="284">
        <f>IF(R17&gt;ev_periode_jaar,0,Achtergrondparameters!M$58)</f>
        <v>8000</v>
      </c>
      <c r="S27" s="284">
        <f>IF(S17&gt;ev_periode_jaar,0,Achtergrondparameters!N$58)</f>
        <v>8000</v>
      </c>
      <c r="T27" s="284">
        <f>IF(T17&gt;ev_periode_jaar,0,Achtergrondparameters!O$58)</f>
        <v>8000</v>
      </c>
      <c r="U27" s="284">
        <f>IF(U17&gt;ev_periode_jaar,0,Achtergrondparameters!P$58)</f>
        <v>8000</v>
      </c>
      <c r="V27" s="284">
        <f>IF(V17&gt;ev_periode_jaar,0,Achtergrondparameters!Q$58)</f>
        <v>8000</v>
      </c>
      <c r="W27" s="284">
        <f>IF(W17&gt;ev_periode_jaar,0,Achtergrondparameters!R$58)</f>
        <v>0</v>
      </c>
      <c r="X27" s="284">
        <f>IF(X17&gt;ev_periode_jaar,0,Achtergrondparameters!S$58)</f>
        <v>0</v>
      </c>
      <c r="Y27" s="284">
        <f>IF(Y17&gt;ev_periode_jaar,0,Achtergrondparameters!T$58)</f>
        <v>0</v>
      </c>
      <c r="Z27" s="284">
        <f>IF(Z17&gt;ev_periode_jaar,0,Achtergrondparameters!U$58)</f>
        <v>0</v>
      </c>
      <c r="AA27" s="284">
        <f>IF(AA17&gt;ev_periode_jaar,0,Achtergrondparameters!V$58)</f>
        <v>0</v>
      </c>
      <c r="AB27" s="284">
        <f>IF(AB17&gt;ev_periode_jaar,0,Achtergrondparameters!W$58)</f>
        <v>0</v>
      </c>
      <c r="AC27" s="284">
        <f>IF(AC17&gt;ev_periode_jaar,0,Achtergrondparameters!X$58)</f>
        <v>0</v>
      </c>
      <c r="AD27" s="284">
        <f>IF(AD17&gt;ev_periode_jaar,0,Achtergrondparameters!Y$58)</f>
        <v>0</v>
      </c>
      <c r="AE27" s="284">
        <f>IF(AE17&gt;ev_periode_jaar,0,Achtergrondparameters!Z$58)</f>
        <v>0</v>
      </c>
      <c r="AF27" s="284">
        <f>IF(AF17&gt;ev_periode_jaar,0,Achtergrondparameters!AA$58)</f>
        <v>0</v>
      </c>
      <c r="AG27" s="284">
        <f>IF(AG17&gt;ev_periode_jaar,0,Achtergrondparameters!AB$58)</f>
        <v>0</v>
      </c>
      <c r="AH27" s="284">
        <f>IF(AH17&gt;ev_periode_jaar,0,Achtergrondparameters!AC$58)</f>
        <v>0</v>
      </c>
      <c r="AI27" s="284">
        <f>IF(AI17&gt;ev_periode_jaar,0,Achtergrondparameters!AD$58)</f>
        <v>0</v>
      </c>
      <c r="AJ27" s="284">
        <f>IF(AJ17&gt;ev_periode_jaar,0,Achtergrondparameters!AE$58)</f>
        <v>0</v>
      </c>
      <c r="AK27" s="284">
        <f>IF(AK17&gt;ev_periode_jaar,0,Achtergrondparameters!AF$58)</f>
        <v>0</v>
      </c>
    </row>
    <row r="28" spans="1:42" s="21" customFormat="1" ht="18" x14ac:dyDescent="0.3">
      <c r="A28" s="21" t="s">
        <v>193</v>
      </c>
      <c r="B28" s="287"/>
      <c r="C28" s="21" t="s">
        <v>194</v>
      </c>
      <c r="H28" s="167">
        <f>IF(H17&gt;ev_periode_jaar,0,IFERROR($B$19*H25,""))</f>
        <v>8000000</v>
      </c>
      <c r="I28" s="167">
        <f t="shared" ref="I28:AK28" si="2">IF(I17&gt;ev_periode_jaar,0,IFERROR($B$19*I25,""))</f>
        <v>8000000</v>
      </c>
      <c r="J28" s="167">
        <f t="shared" si="2"/>
        <v>8000000</v>
      </c>
      <c r="K28" s="167">
        <f t="shared" si="2"/>
        <v>8000000</v>
      </c>
      <c r="L28" s="167">
        <f t="shared" si="2"/>
        <v>8000000</v>
      </c>
      <c r="M28" s="167">
        <f t="shared" si="2"/>
        <v>8000000</v>
      </c>
      <c r="N28" s="167">
        <f t="shared" si="2"/>
        <v>8000000</v>
      </c>
      <c r="O28" s="167">
        <f t="shared" si="2"/>
        <v>8000000</v>
      </c>
      <c r="P28" s="167">
        <f t="shared" si="2"/>
        <v>8000000</v>
      </c>
      <c r="Q28" s="167">
        <f t="shared" si="2"/>
        <v>8000000</v>
      </c>
      <c r="R28" s="167">
        <f t="shared" si="2"/>
        <v>8000000</v>
      </c>
      <c r="S28" s="167">
        <f t="shared" si="2"/>
        <v>8000000</v>
      </c>
      <c r="T28" s="167">
        <f t="shared" si="2"/>
        <v>8000000</v>
      </c>
      <c r="U28" s="167">
        <f t="shared" si="2"/>
        <v>8000000</v>
      </c>
      <c r="V28" s="167">
        <f t="shared" si="2"/>
        <v>8000000</v>
      </c>
      <c r="W28" s="167">
        <f t="shared" si="2"/>
        <v>0</v>
      </c>
      <c r="X28" s="167">
        <f t="shared" si="2"/>
        <v>0</v>
      </c>
      <c r="Y28" s="167">
        <f t="shared" si="2"/>
        <v>0</v>
      </c>
      <c r="Z28" s="167">
        <f t="shared" si="2"/>
        <v>0</v>
      </c>
      <c r="AA28" s="167">
        <f t="shared" si="2"/>
        <v>0</v>
      </c>
      <c r="AB28" s="167">
        <f t="shared" si="2"/>
        <v>0</v>
      </c>
      <c r="AC28" s="167">
        <f t="shared" si="2"/>
        <v>0</v>
      </c>
      <c r="AD28" s="167">
        <f t="shared" si="2"/>
        <v>0</v>
      </c>
      <c r="AE28" s="167">
        <f t="shared" si="2"/>
        <v>0</v>
      </c>
      <c r="AF28" s="167">
        <f t="shared" si="2"/>
        <v>0</v>
      </c>
      <c r="AG28" s="167">
        <f t="shared" si="2"/>
        <v>0</v>
      </c>
      <c r="AH28" s="167">
        <f t="shared" si="2"/>
        <v>0</v>
      </c>
      <c r="AI28" s="167">
        <f t="shared" si="2"/>
        <v>0</v>
      </c>
      <c r="AJ28" s="167">
        <f t="shared" si="2"/>
        <v>0</v>
      </c>
      <c r="AK28" s="167">
        <f t="shared" si="2"/>
        <v>0</v>
      </c>
    </row>
    <row r="29" spans="1:42" s="27" customFormat="1" ht="18" x14ac:dyDescent="0.3">
      <c r="A29" s="283" t="s">
        <v>195</v>
      </c>
      <c r="B29" s="288"/>
      <c r="C29" s="283" t="s">
        <v>196</v>
      </c>
      <c r="H29" s="284">
        <f t="shared" ref="H29:AK29" si="3">IF(H17&gt;ev_periode_jaar,0,IFERROR($B$19*H26,""))</f>
        <v>8000000</v>
      </c>
      <c r="I29" s="284">
        <f t="shared" si="3"/>
        <v>8000000</v>
      </c>
      <c r="J29" s="284">
        <f t="shared" si="3"/>
        <v>8000000</v>
      </c>
      <c r="K29" s="284">
        <f t="shared" si="3"/>
        <v>8000000</v>
      </c>
      <c r="L29" s="284">
        <f t="shared" si="3"/>
        <v>8000000</v>
      </c>
      <c r="M29" s="284">
        <f t="shared" si="3"/>
        <v>8000000</v>
      </c>
      <c r="N29" s="284">
        <f t="shared" si="3"/>
        <v>8000000</v>
      </c>
      <c r="O29" s="284">
        <f t="shared" si="3"/>
        <v>8000000</v>
      </c>
      <c r="P29" s="284">
        <f t="shared" si="3"/>
        <v>8000000</v>
      </c>
      <c r="Q29" s="284">
        <f t="shared" si="3"/>
        <v>8000000</v>
      </c>
      <c r="R29" s="284">
        <f t="shared" si="3"/>
        <v>8000000</v>
      </c>
      <c r="S29" s="284">
        <f t="shared" si="3"/>
        <v>8000000</v>
      </c>
      <c r="T29" s="284">
        <f t="shared" si="3"/>
        <v>8000000</v>
      </c>
      <c r="U29" s="284">
        <f t="shared" si="3"/>
        <v>8000000</v>
      </c>
      <c r="V29" s="284">
        <f t="shared" si="3"/>
        <v>8000000</v>
      </c>
      <c r="W29" s="284">
        <f t="shared" si="3"/>
        <v>0</v>
      </c>
      <c r="X29" s="284">
        <f t="shared" si="3"/>
        <v>0</v>
      </c>
      <c r="Y29" s="284">
        <f t="shared" si="3"/>
        <v>0</v>
      </c>
      <c r="Z29" s="284">
        <f t="shared" si="3"/>
        <v>0</v>
      </c>
      <c r="AA29" s="284">
        <f t="shared" si="3"/>
        <v>0</v>
      </c>
      <c r="AB29" s="284">
        <f t="shared" si="3"/>
        <v>0</v>
      </c>
      <c r="AC29" s="284">
        <f t="shared" si="3"/>
        <v>0</v>
      </c>
      <c r="AD29" s="284">
        <f t="shared" si="3"/>
        <v>0</v>
      </c>
      <c r="AE29" s="284">
        <f t="shared" si="3"/>
        <v>0</v>
      </c>
      <c r="AF29" s="284">
        <f t="shared" si="3"/>
        <v>0</v>
      </c>
      <c r="AG29" s="284">
        <f t="shared" si="3"/>
        <v>0</v>
      </c>
      <c r="AH29" s="284">
        <f t="shared" si="3"/>
        <v>0</v>
      </c>
      <c r="AI29" s="284">
        <f t="shared" si="3"/>
        <v>0</v>
      </c>
      <c r="AJ29" s="284">
        <f t="shared" si="3"/>
        <v>0</v>
      </c>
      <c r="AK29" s="284">
        <f t="shared" si="3"/>
        <v>0</v>
      </c>
    </row>
    <row r="30" spans="1:42" s="27" customFormat="1" ht="18" x14ac:dyDescent="0.3">
      <c r="A30" s="283" t="s">
        <v>197</v>
      </c>
      <c r="B30" s="288"/>
      <c r="C30" s="283" t="s">
        <v>196</v>
      </c>
      <c r="H30" s="284">
        <f t="shared" ref="H30:AK30" si="4">IF(H17&gt;ev_periode_jaar,0,IFERROR($B$19*H27,""))</f>
        <v>8000000</v>
      </c>
      <c r="I30" s="284">
        <f t="shared" si="4"/>
        <v>8000000</v>
      </c>
      <c r="J30" s="284">
        <f t="shared" si="4"/>
        <v>8000000</v>
      </c>
      <c r="K30" s="284">
        <f t="shared" si="4"/>
        <v>8000000</v>
      </c>
      <c r="L30" s="284">
        <f t="shared" si="4"/>
        <v>8000000</v>
      </c>
      <c r="M30" s="284">
        <f t="shared" si="4"/>
        <v>8000000</v>
      </c>
      <c r="N30" s="284">
        <f t="shared" si="4"/>
        <v>8000000</v>
      </c>
      <c r="O30" s="284">
        <f t="shared" si="4"/>
        <v>8000000</v>
      </c>
      <c r="P30" s="284">
        <f t="shared" si="4"/>
        <v>8000000</v>
      </c>
      <c r="Q30" s="284">
        <f t="shared" si="4"/>
        <v>8000000</v>
      </c>
      <c r="R30" s="284">
        <f t="shared" si="4"/>
        <v>8000000</v>
      </c>
      <c r="S30" s="284">
        <f t="shared" si="4"/>
        <v>8000000</v>
      </c>
      <c r="T30" s="284">
        <f t="shared" si="4"/>
        <v>8000000</v>
      </c>
      <c r="U30" s="284">
        <f t="shared" si="4"/>
        <v>8000000</v>
      </c>
      <c r="V30" s="284">
        <f t="shared" si="4"/>
        <v>8000000</v>
      </c>
      <c r="W30" s="284">
        <f t="shared" si="4"/>
        <v>0</v>
      </c>
      <c r="X30" s="284">
        <f t="shared" si="4"/>
        <v>0</v>
      </c>
      <c r="Y30" s="284">
        <f t="shared" si="4"/>
        <v>0</v>
      </c>
      <c r="Z30" s="284">
        <f t="shared" si="4"/>
        <v>0</v>
      </c>
      <c r="AA30" s="284">
        <f t="shared" si="4"/>
        <v>0</v>
      </c>
      <c r="AB30" s="284">
        <f t="shared" si="4"/>
        <v>0</v>
      </c>
      <c r="AC30" s="284">
        <f t="shared" si="4"/>
        <v>0</v>
      </c>
      <c r="AD30" s="284">
        <f t="shared" si="4"/>
        <v>0</v>
      </c>
      <c r="AE30" s="284">
        <f t="shared" si="4"/>
        <v>0</v>
      </c>
      <c r="AF30" s="284">
        <f t="shared" si="4"/>
        <v>0</v>
      </c>
      <c r="AG30" s="284">
        <f t="shared" si="4"/>
        <v>0</v>
      </c>
      <c r="AH30" s="284">
        <f t="shared" si="4"/>
        <v>0</v>
      </c>
      <c r="AI30" s="284">
        <f t="shared" si="4"/>
        <v>0</v>
      </c>
      <c r="AJ30" s="284">
        <f t="shared" si="4"/>
        <v>0</v>
      </c>
      <c r="AK30" s="284">
        <f t="shared" si="4"/>
        <v>0</v>
      </c>
    </row>
    <row r="31" spans="1:42" s="21" customFormat="1" ht="14.25" customHeight="1" x14ac:dyDescent="0.3">
      <c r="B31" s="166"/>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row>
    <row r="32" spans="1:42" s="89" customFormat="1" ht="14.25" customHeight="1" x14ac:dyDescent="0.3">
      <c r="A32" s="87" t="s">
        <v>50</v>
      </c>
      <c r="B32" s="88"/>
      <c r="C32" s="87" t="s">
        <v>81</v>
      </c>
    </row>
    <row r="33" spans="1:37" s="89" customFormat="1" ht="14.25" customHeight="1" x14ac:dyDescent="0.3">
      <c r="A33" s="87" t="s">
        <v>198</v>
      </c>
      <c r="B33" s="88"/>
      <c r="C33" s="87"/>
    </row>
    <row r="34" spans="1:37" s="21" customFormat="1" ht="15.6" x14ac:dyDescent="0.3">
      <c r="A34" s="21" t="s">
        <v>199</v>
      </c>
      <c r="B34" s="92"/>
      <c r="C34" s="21" t="s">
        <v>55</v>
      </c>
      <c r="D34" s="166"/>
      <c r="E34" s="166"/>
      <c r="F34" s="166">
        <f>(DASHBOARD!$C$39*$B$22)+DASHBOARD!C40</f>
        <v>8052000</v>
      </c>
      <c r="G34" s="166"/>
      <c r="H34" s="33"/>
      <c r="I34" s="93"/>
      <c r="J34" s="93"/>
      <c r="K34" s="93"/>
      <c r="L34" s="93"/>
      <c r="M34" s="93"/>
      <c r="N34" s="93"/>
      <c r="O34" s="93"/>
      <c r="P34" s="93"/>
      <c r="Q34" s="93"/>
      <c r="R34" s="94"/>
      <c r="S34" s="94"/>
      <c r="T34" s="94"/>
      <c r="U34" s="94"/>
      <c r="V34" s="94"/>
      <c r="W34" s="94"/>
      <c r="X34" s="94"/>
      <c r="Y34" s="94"/>
      <c r="Z34" s="94"/>
      <c r="AA34" s="94"/>
      <c r="AB34" s="94"/>
      <c r="AC34" s="94"/>
      <c r="AD34" s="94"/>
      <c r="AE34" s="94"/>
      <c r="AF34" s="94"/>
      <c r="AG34" s="94"/>
      <c r="AH34" s="94"/>
      <c r="AI34" s="94"/>
      <c r="AJ34" s="94"/>
      <c r="AK34" s="94"/>
    </row>
    <row r="35" spans="1:37" s="21" customFormat="1" ht="14.25" customHeight="1" x14ac:dyDescent="0.3">
      <c r="D35" s="92"/>
      <c r="E35" s="92"/>
      <c r="F35" s="92"/>
      <c r="G35" s="92"/>
      <c r="H35" s="33"/>
      <c r="I35" s="93"/>
      <c r="J35" s="93"/>
      <c r="K35" s="93"/>
      <c r="L35" s="93"/>
      <c r="M35" s="93"/>
      <c r="N35" s="93"/>
      <c r="O35" s="93"/>
      <c r="P35" s="93"/>
      <c r="Q35" s="93"/>
      <c r="R35" s="94"/>
      <c r="S35" s="94"/>
      <c r="T35" s="94"/>
      <c r="U35" s="94"/>
      <c r="V35" s="94"/>
      <c r="W35" s="94"/>
      <c r="X35" s="94"/>
      <c r="Y35" s="94"/>
      <c r="Z35" s="94"/>
      <c r="AA35" s="94"/>
      <c r="AB35" s="94"/>
      <c r="AC35" s="94"/>
      <c r="AD35" s="94"/>
      <c r="AE35" s="94"/>
      <c r="AF35" s="94"/>
      <c r="AG35" s="94"/>
      <c r="AH35" s="94"/>
      <c r="AI35" s="94"/>
      <c r="AJ35" s="94"/>
      <c r="AK35" s="94"/>
    </row>
    <row r="36" spans="1:37" s="21" customFormat="1" ht="14.25" customHeight="1" x14ac:dyDescent="0.3">
      <c r="A36" s="168" t="s">
        <v>200</v>
      </c>
      <c r="B36" s="75" t="s">
        <v>315</v>
      </c>
      <c r="D36" s="92"/>
      <c r="E36" s="92"/>
      <c r="F36" s="92"/>
      <c r="G36" s="92"/>
      <c r="H36" s="293" t="str">
        <f>$B$36</f>
        <v>70/36/30 kV Elia</v>
      </c>
      <c r="I36" s="293" t="str">
        <f t="shared" ref="I36:AK36" si="5">$B$36</f>
        <v>70/36/30 kV Elia</v>
      </c>
      <c r="J36" s="293" t="str">
        <f t="shared" si="5"/>
        <v>70/36/30 kV Elia</v>
      </c>
      <c r="K36" s="293" t="str">
        <f t="shared" si="5"/>
        <v>70/36/30 kV Elia</v>
      </c>
      <c r="L36" s="293" t="str">
        <f t="shared" si="5"/>
        <v>70/36/30 kV Elia</v>
      </c>
      <c r="M36" s="293" t="str">
        <f t="shared" si="5"/>
        <v>70/36/30 kV Elia</v>
      </c>
      <c r="N36" s="293" t="str">
        <f t="shared" si="5"/>
        <v>70/36/30 kV Elia</v>
      </c>
      <c r="O36" s="293" t="str">
        <f t="shared" si="5"/>
        <v>70/36/30 kV Elia</v>
      </c>
      <c r="P36" s="293" t="str">
        <f t="shared" si="5"/>
        <v>70/36/30 kV Elia</v>
      </c>
      <c r="Q36" s="293" t="str">
        <f t="shared" si="5"/>
        <v>70/36/30 kV Elia</v>
      </c>
      <c r="R36" s="293" t="str">
        <f t="shared" si="5"/>
        <v>70/36/30 kV Elia</v>
      </c>
      <c r="S36" s="293" t="str">
        <f t="shared" si="5"/>
        <v>70/36/30 kV Elia</v>
      </c>
      <c r="T36" s="293" t="str">
        <f t="shared" si="5"/>
        <v>70/36/30 kV Elia</v>
      </c>
      <c r="U36" s="293" t="str">
        <f t="shared" si="5"/>
        <v>70/36/30 kV Elia</v>
      </c>
      <c r="V36" s="293" t="str">
        <f t="shared" si="5"/>
        <v>70/36/30 kV Elia</v>
      </c>
      <c r="W36" s="293" t="str">
        <f t="shared" si="5"/>
        <v>70/36/30 kV Elia</v>
      </c>
      <c r="X36" s="293" t="str">
        <f t="shared" si="5"/>
        <v>70/36/30 kV Elia</v>
      </c>
      <c r="Y36" s="293" t="str">
        <f t="shared" si="5"/>
        <v>70/36/30 kV Elia</v>
      </c>
      <c r="Z36" s="293" t="str">
        <f t="shared" si="5"/>
        <v>70/36/30 kV Elia</v>
      </c>
      <c r="AA36" s="293" t="str">
        <f t="shared" si="5"/>
        <v>70/36/30 kV Elia</v>
      </c>
      <c r="AB36" s="293" t="str">
        <f t="shared" si="5"/>
        <v>70/36/30 kV Elia</v>
      </c>
      <c r="AC36" s="293" t="str">
        <f t="shared" si="5"/>
        <v>70/36/30 kV Elia</v>
      </c>
      <c r="AD36" s="293" t="str">
        <f t="shared" si="5"/>
        <v>70/36/30 kV Elia</v>
      </c>
      <c r="AE36" s="293" t="str">
        <f t="shared" si="5"/>
        <v>70/36/30 kV Elia</v>
      </c>
      <c r="AF36" s="293" t="str">
        <f t="shared" si="5"/>
        <v>70/36/30 kV Elia</v>
      </c>
      <c r="AG36" s="293" t="str">
        <f t="shared" si="5"/>
        <v>70/36/30 kV Elia</v>
      </c>
      <c r="AH36" s="293" t="str">
        <f t="shared" si="5"/>
        <v>70/36/30 kV Elia</v>
      </c>
      <c r="AI36" s="293" t="str">
        <f t="shared" si="5"/>
        <v>70/36/30 kV Elia</v>
      </c>
      <c r="AJ36" s="293" t="str">
        <f t="shared" si="5"/>
        <v>70/36/30 kV Elia</v>
      </c>
      <c r="AK36" s="293" t="str">
        <f t="shared" si="5"/>
        <v>70/36/30 kV Elia</v>
      </c>
    </row>
    <row r="37" spans="1:37" s="21" customFormat="1" ht="14.25" customHeight="1" x14ac:dyDescent="0.3">
      <c r="A37" s="169" t="s">
        <v>201</v>
      </c>
      <c r="B37" s="92"/>
      <c r="C37" s="21" t="s">
        <v>170</v>
      </c>
      <c r="H37" s="294" cm="1">
        <f t="array" aca="1" ref="H37" ca="1">IF(H17&gt;ev_periode_jaar,0,_xlfn.XLOOKUP("Netkosten " &amp; H36,INDIRECT("prefill[Kostenpost]"),prefill[1]))</f>
        <v>34.932499999999997</v>
      </c>
      <c r="I37" s="294" cm="1">
        <f t="array" aca="1" ref="I37" ca="1">IF(I17&gt;ev_periode_jaar,0,_xlfn.XLOOKUP("Netkosten " &amp; I36,INDIRECT("prefill[Kostenpost]"),prefill[2]))</f>
        <v>35.631149999999998</v>
      </c>
      <c r="J37" s="294" cm="1">
        <f t="array" aca="1" ref="J37" ca="1">IF(J17&gt;ev_periode_jaar,0,_xlfn.XLOOKUP("Netkosten " &amp; J36,INDIRECT("prefill[Kostenpost]"),prefill[3]))</f>
        <v>36.343772999999999</v>
      </c>
      <c r="K37" s="294" cm="1">
        <f t="array" aca="1" ref="K37" ca="1">IF(K17&gt;ev_periode_jaar,0,_xlfn.XLOOKUP("Netkosten " &amp; K36,INDIRECT("prefill[Kostenpost]"),prefill[4]))</f>
        <v>37.070648460000001</v>
      </c>
      <c r="L37" s="294" cm="1">
        <f t="array" aca="1" ref="L37" ca="1">IF(L17&gt;ev_periode_jaar,0,_xlfn.XLOOKUP("Netkosten " &amp; L36,INDIRECT("prefill[Kostenpost]"),prefill[5]))</f>
        <v>37.8120614292</v>
      </c>
      <c r="M37" s="294" cm="1">
        <f t="array" aca="1" ref="M37" ca="1">IF(M17&gt;ev_periode_jaar,0,_xlfn.XLOOKUP("Netkosten " &amp; M36,INDIRECT("prefill[Kostenpost]"),prefill[6]))</f>
        <v>38.568302657784002</v>
      </c>
      <c r="N37" s="294" cm="1">
        <f t="array" aca="1" ref="N37" ca="1">IF(N17&gt;ev_periode_jaar,0,_xlfn.XLOOKUP("Netkosten " &amp; N36,INDIRECT("prefill[Kostenpost]"),prefill[7]))</f>
        <v>39.339668710939684</v>
      </c>
      <c r="O37" s="294" cm="1">
        <f t="array" aca="1" ref="O37" ca="1">IF(O17&gt;ev_periode_jaar,0,_xlfn.XLOOKUP("Netkosten " &amp; O36,INDIRECT("prefill[Kostenpost]"),prefill[8]))</f>
        <v>40.126462085158479</v>
      </c>
      <c r="P37" s="294" cm="1">
        <f t="array" aca="1" ref="P37" ca="1">IF(P17&gt;ev_periode_jaar,0,_xlfn.XLOOKUP("Netkosten " &amp; P36,INDIRECT("prefill[Kostenpost]"),prefill[9]))</f>
        <v>40.928991326861649</v>
      </c>
      <c r="Q37" s="294" cm="1">
        <f t="array" aca="1" ref="Q37" ca="1">IF(Q17&gt;ev_periode_jaar,0,_xlfn.XLOOKUP("Netkosten " &amp; Q36,INDIRECT("prefill[Kostenpost]"),prefill[10]))</f>
        <v>41.74757115339888</v>
      </c>
      <c r="R37" s="294" cm="1">
        <f t="array" aca="1" ref="R37" ca="1">IF(R17&gt;ev_periode_jaar,0,_xlfn.XLOOKUP("Netkosten " &amp; R36,INDIRECT("prefill[Kostenpost]"),prefill[11]))</f>
        <v>42.582522576466857</v>
      </c>
      <c r="S37" s="294" cm="1">
        <f t="array" aca="1" ref="S37" ca="1">IF(S17&gt;ev_periode_jaar,0,_xlfn.XLOOKUP("Netkosten " &amp; S36,INDIRECT("prefill[Kostenpost]"),prefill[12]))</f>
        <v>43.434173027996195</v>
      </c>
      <c r="T37" s="294" cm="1">
        <f t="array" aca="1" ref="T37" ca="1">IF(T17&gt;ev_periode_jaar,0,_xlfn.XLOOKUP("Netkosten " &amp; T36,INDIRECT("prefill[Kostenpost]"),prefill[13]))</f>
        <v>44.302856488556117</v>
      </c>
      <c r="U37" s="294" cm="1">
        <f t="array" aca="1" ref="U37" ca="1">IF(U17&gt;ev_periode_jaar,0,_xlfn.XLOOKUP("Netkosten " &amp; U36,INDIRECT("prefill[Kostenpost]"),prefill[14]))</f>
        <v>45.188913618327241</v>
      </c>
      <c r="V37" s="294" cm="1">
        <f t="array" aca="1" ref="V37" ca="1">IF(V17&gt;ev_periode_jaar,0,_xlfn.XLOOKUP("Netkosten " &amp; V36,INDIRECT("prefill[Kostenpost]"),prefill[15]))</f>
        <v>46.092691890693786</v>
      </c>
      <c r="W37" s="294" cm="1">
        <f t="array" aca="1" ref="W37" ca="1">IF(W17&gt;ev_periode_jaar,0,_xlfn.XLOOKUP("Netkosten " &amp; W36,INDIRECT("prefill[Kostenpost]"),prefill[16]))</f>
        <v>0</v>
      </c>
      <c r="X37" s="294" cm="1">
        <f t="array" aca="1" ref="X37" ca="1">IF(X17&gt;ev_periode_jaar,0,_xlfn.XLOOKUP("Netkosten " &amp; X36,INDIRECT("prefill[Kostenpost]"),prefill[17]))</f>
        <v>0</v>
      </c>
      <c r="Y37" s="294" cm="1">
        <f t="array" aca="1" ref="Y37" ca="1">IF(Y17&gt;ev_periode_jaar,0,_xlfn.XLOOKUP("Netkosten " &amp; Y36,INDIRECT("prefill[Kostenpost]"),prefill[18]))</f>
        <v>0</v>
      </c>
      <c r="Z37" s="294" cm="1">
        <f t="array" aca="1" ref="Z37" ca="1">IF(Z17&gt;ev_periode_jaar,0,_xlfn.XLOOKUP("Netkosten " &amp; Z36,INDIRECT("prefill[Kostenpost]"),prefill[19]))</f>
        <v>0</v>
      </c>
      <c r="AA37" s="294" cm="1">
        <f t="array" aca="1" ref="AA37" ca="1">IF(AA17&gt;ev_periode_jaar,0,_xlfn.XLOOKUP("Netkosten " &amp; AA36,INDIRECT("prefill[Kostenpost]"),prefill[20]))</f>
        <v>0</v>
      </c>
      <c r="AB37" s="294" cm="1">
        <f t="array" aca="1" ref="AB37" ca="1">IF(AB17&gt;ev_periode_jaar,0,_xlfn.XLOOKUP("Netkosten " &amp; AB36,INDIRECT("prefill[Kostenpost]"),prefill[21]))</f>
        <v>0</v>
      </c>
      <c r="AC37" s="294" cm="1">
        <f t="array" aca="1" ref="AC37" ca="1">IF(AC17&gt;ev_periode_jaar,0,_xlfn.XLOOKUP("Netkosten " &amp; AC36,INDIRECT("prefill[Kostenpost]"),prefill[22]))</f>
        <v>0</v>
      </c>
      <c r="AD37" s="294" cm="1">
        <f t="array" aca="1" ref="AD37" ca="1">IF(AD17&gt;ev_periode_jaar,0,_xlfn.XLOOKUP("Netkosten " &amp; AD36,INDIRECT("prefill[Kostenpost]"),prefill[23]))</f>
        <v>0</v>
      </c>
      <c r="AE37" s="294" cm="1">
        <f t="array" aca="1" ref="AE37" ca="1">IF(AE17&gt;ev_periode_jaar,0,_xlfn.XLOOKUP("Netkosten " &amp; AE36,INDIRECT("prefill[Kostenpost]"),prefill[24]))</f>
        <v>0</v>
      </c>
      <c r="AF37" s="294" cm="1">
        <f t="array" aca="1" ref="AF37" ca="1">IF(AF17&gt;ev_periode_jaar,0,_xlfn.XLOOKUP("Netkosten " &amp; AF36,INDIRECT("prefill[Kostenpost]"),prefill[25]))</f>
        <v>0</v>
      </c>
      <c r="AG37" s="294" cm="1">
        <f t="array" aca="1" ref="AG37" ca="1">IF(AG17&gt;ev_periode_jaar,0,_xlfn.XLOOKUP("Netkosten " &amp; AG36,INDIRECT("prefill[Kostenpost]"),prefill[26]))</f>
        <v>0</v>
      </c>
      <c r="AH37" s="294" cm="1">
        <f t="array" aca="1" ref="AH37" ca="1">IF(AH17&gt;ev_periode_jaar,0,_xlfn.XLOOKUP("Netkosten " &amp; AH36,INDIRECT("prefill[Kostenpost]"),prefill[27]))</f>
        <v>0</v>
      </c>
      <c r="AI37" s="294" cm="1">
        <f t="array" aca="1" ref="AI37" ca="1">IF(AI17&gt;ev_periode_jaar,0,_xlfn.XLOOKUP("Netkosten " &amp; AI36,INDIRECT("prefill[Kostenpost]"),prefill[28]))</f>
        <v>0</v>
      </c>
      <c r="AJ37" s="294" cm="1">
        <f t="array" aca="1" ref="AJ37" ca="1">IF(AJ17&gt;ev_periode_jaar,0,_xlfn.XLOOKUP("Netkosten " &amp; AJ36,INDIRECT("prefill[Kostenpost]"),prefill[29]))</f>
        <v>0</v>
      </c>
      <c r="AK37" s="294" cm="1">
        <f t="array" aca="1" ref="AK37" ca="1">IF(AK17&gt;ev_periode_jaar,0,_xlfn.XLOOKUP("Netkosten " &amp; AK36,INDIRECT("prefill[Kostenpost]"),prefill[30]))</f>
        <v>0</v>
      </c>
    </row>
    <row r="38" spans="1:37" s="21" customFormat="1" ht="14.25" customHeight="1" x14ac:dyDescent="0.3">
      <c r="A38" s="170" t="s">
        <v>202</v>
      </c>
      <c r="B38" s="286">
        <f>IFERROR(_xlfn.XLOOKUP($B$9,tech_param[ID],tech_param[Correctiefactor netkost]),"")</f>
        <v>1</v>
      </c>
      <c r="H38" s="135"/>
      <c r="I38" s="135"/>
      <c r="J38" s="135"/>
      <c r="K38" s="135"/>
      <c r="L38" s="135"/>
      <c r="M38" s="135"/>
      <c r="N38" s="135"/>
      <c r="O38" s="135"/>
      <c r="P38" s="135"/>
      <c r="Q38" s="135"/>
      <c r="R38" s="134"/>
      <c r="S38" s="134"/>
      <c r="T38" s="134"/>
      <c r="U38" s="134"/>
      <c r="V38" s="134"/>
      <c r="W38" s="134"/>
      <c r="X38" s="134"/>
      <c r="Y38" s="134"/>
      <c r="Z38" s="134"/>
      <c r="AA38" s="134"/>
      <c r="AB38" s="134"/>
      <c r="AC38" s="134"/>
      <c r="AD38" s="134"/>
      <c r="AE38" s="134"/>
      <c r="AF38" s="134"/>
      <c r="AG38" s="134"/>
      <c r="AH38" s="134"/>
      <c r="AI38" s="134"/>
      <c r="AJ38" s="134"/>
      <c r="AK38" s="134"/>
    </row>
    <row r="39" spans="1:37" s="21" customFormat="1" ht="14.25" customHeight="1" x14ac:dyDescent="0.3">
      <c r="A39" s="168" t="s">
        <v>203</v>
      </c>
      <c r="B39" s="92"/>
      <c r="C39" s="21" t="s">
        <v>64</v>
      </c>
      <c r="H39" s="132">
        <f t="shared" ref="H39:AK39" ca="1" si="6">IF(H17&gt;ev_periode_jaar,0,IFERROR(H37*$B$38*$B$19,""))</f>
        <v>34932.5</v>
      </c>
      <c r="I39" s="132">
        <f t="shared" ca="1" si="6"/>
        <v>35631.15</v>
      </c>
      <c r="J39" s="132">
        <f t="shared" ca="1" si="6"/>
        <v>36343.773000000001</v>
      </c>
      <c r="K39" s="132">
        <f t="shared" ca="1" si="6"/>
        <v>37070.648460000004</v>
      </c>
      <c r="L39" s="132">
        <f t="shared" ca="1" si="6"/>
        <v>37812.061429200003</v>
      </c>
      <c r="M39" s="132">
        <f t="shared" ca="1" si="6"/>
        <v>38568.302657783999</v>
      </c>
      <c r="N39" s="132">
        <f t="shared" ca="1" si="6"/>
        <v>39339.668710939681</v>
      </c>
      <c r="O39" s="132">
        <f t="shared" ca="1" si="6"/>
        <v>40126.462085158477</v>
      </c>
      <c r="P39" s="132">
        <f t="shared" ca="1" si="6"/>
        <v>40928.991326861651</v>
      </c>
      <c r="Q39" s="132">
        <f t="shared" ca="1" si="6"/>
        <v>41747.57115339888</v>
      </c>
      <c r="R39" s="132">
        <f t="shared" ca="1" si="6"/>
        <v>42582.522576466858</v>
      </c>
      <c r="S39" s="132">
        <f t="shared" ca="1" si="6"/>
        <v>43434.173027996192</v>
      </c>
      <c r="T39" s="132">
        <f t="shared" ca="1" si="6"/>
        <v>44302.856488556114</v>
      </c>
      <c r="U39" s="132">
        <f t="shared" ca="1" si="6"/>
        <v>45188.913618327242</v>
      </c>
      <c r="V39" s="132">
        <f t="shared" ca="1" si="6"/>
        <v>46092.691890693786</v>
      </c>
      <c r="W39" s="132">
        <f t="shared" si="6"/>
        <v>0</v>
      </c>
      <c r="X39" s="132">
        <f t="shared" si="6"/>
        <v>0</v>
      </c>
      <c r="Y39" s="132">
        <f t="shared" si="6"/>
        <v>0</v>
      </c>
      <c r="Z39" s="132">
        <f t="shared" si="6"/>
        <v>0</v>
      </c>
      <c r="AA39" s="132">
        <f t="shared" si="6"/>
        <v>0</v>
      </c>
      <c r="AB39" s="132">
        <f t="shared" si="6"/>
        <v>0</v>
      </c>
      <c r="AC39" s="132">
        <f t="shared" si="6"/>
        <v>0</v>
      </c>
      <c r="AD39" s="132">
        <f t="shared" si="6"/>
        <v>0</v>
      </c>
      <c r="AE39" s="132">
        <f t="shared" si="6"/>
        <v>0</v>
      </c>
      <c r="AF39" s="132">
        <f t="shared" si="6"/>
        <v>0</v>
      </c>
      <c r="AG39" s="132">
        <f t="shared" si="6"/>
        <v>0</v>
      </c>
      <c r="AH39" s="132">
        <f t="shared" si="6"/>
        <v>0</v>
      </c>
      <c r="AI39" s="132">
        <f t="shared" si="6"/>
        <v>0</v>
      </c>
      <c r="AJ39" s="132">
        <f t="shared" si="6"/>
        <v>0</v>
      </c>
      <c r="AK39" s="132">
        <f t="shared" si="6"/>
        <v>0</v>
      </c>
    </row>
    <row r="40" spans="1:37" s="21" customFormat="1" ht="14.25" customHeight="1" x14ac:dyDescent="0.3">
      <c r="A40" s="171" t="s">
        <v>204</v>
      </c>
      <c r="B40" s="92">
        <f>0.05*SUM($D$34:$G$34)</f>
        <v>402600</v>
      </c>
      <c r="C40" s="21" t="s">
        <v>64</v>
      </c>
      <c r="H40" s="335">
        <f t="shared" ref="H40:AK40" si="7">IF(H17&gt;ev_periode_jaar,0,$B$40)</f>
        <v>402600</v>
      </c>
      <c r="I40" s="166">
        <f t="shared" si="7"/>
        <v>402600</v>
      </c>
      <c r="J40" s="166">
        <f t="shared" si="7"/>
        <v>402600</v>
      </c>
      <c r="K40" s="166">
        <f t="shared" si="7"/>
        <v>402600</v>
      </c>
      <c r="L40" s="166">
        <f t="shared" si="7"/>
        <v>402600</v>
      </c>
      <c r="M40" s="166">
        <f t="shared" si="7"/>
        <v>402600</v>
      </c>
      <c r="N40" s="166">
        <f t="shared" si="7"/>
        <v>402600</v>
      </c>
      <c r="O40" s="166">
        <f t="shared" si="7"/>
        <v>402600</v>
      </c>
      <c r="P40" s="166">
        <f t="shared" si="7"/>
        <v>402600</v>
      </c>
      <c r="Q40" s="166">
        <f t="shared" si="7"/>
        <v>402600</v>
      </c>
      <c r="R40" s="166">
        <f t="shared" si="7"/>
        <v>402600</v>
      </c>
      <c r="S40" s="166">
        <f t="shared" si="7"/>
        <v>402600</v>
      </c>
      <c r="T40" s="166">
        <f t="shared" si="7"/>
        <v>402600</v>
      </c>
      <c r="U40" s="166">
        <f t="shared" si="7"/>
        <v>402600</v>
      </c>
      <c r="V40" s="166">
        <f t="shared" si="7"/>
        <v>402600</v>
      </c>
      <c r="W40" s="166">
        <f t="shared" si="7"/>
        <v>0</v>
      </c>
      <c r="X40" s="166">
        <f t="shared" si="7"/>
        <v>0</v>
      </c>
      <c r="Y40" s="166">
        <f t="shared" si="7"/>
        <v>0</v>
      </c>
      <c r="Z40" s="166">
        <f t="shared" si="7"/>
        <v>0</v>
      </c>
      <c r="AA40" s="166">
        <f t="shared" si="7"/>
        <v>0</v>
      </c>
      <c r="AB40" s="166">
        <f t="shared" si="7"/>
        <v>0</v>
      </c>
      <c r="AC40" s="166">
        <f t="shared" si="7"/>
        <v>0</v>
      </c>
      <c r="AD40" s="166">
        <f t="shared" si="7"/>
        <v>0</v>
      </c>
      <c r="AE40" s="166">
        <f t="shared" si="7"/>
        <v>0</v>
      </c>
      <c r="AF40" s="166">
        <f t="shared" si="7"/>
        <v>0</v>
      </c>
      <c r="AG40" s="166">
        <f t="shared" si="7"/>
        <v>0</v>
      </c>
      <c r="AH40" s="166">
        <f t="shared" si="7"/>
        <v>0</v>
      </c>
      <c r="AI40" s="166">
        <f t="shared" si="7"/>
        <v>0</v>
      </c>
      <c r="AJ40" s="166">
        <f t="shared" si="7"/>
        <v>0</v>
      </c>
      <c r="AK40" s="166">
        <f t="shared" si="7"/>
        <v>0</v>
      </c>
    </row>
    <row r="41" spans="1:37" s="21" customFormat="1" ht="14.25" customHeight="1" x14ac:dyDescent="0.3">
      <c r="A41" s="76" t="s">
        <v>205</v>
      </c>
      <c r="B41" s="92"/>
      <c r="C41" s="21" t="s">
        <v>64</v>
      </c>
      <c r="H41" s="92">
        <f t="shared" ref="H41:AK41" ca="1" si="8">IF(H17&gt;ev_periode_jaar,0,IFERROR(ABS(H39)+ABS(H40),""))</f>
        <v>437532.5</v>
      </c>
      <c r="I41" s="92">
        <f t="shared" ca="1" si="8"/>
        <v>438231.15</v>
      </c>
      <c r="J41" s="92">
        <f t="shared" ca="1" si="8"/>
        <v>438943.77299999999</v>
      </c>
      <c r="K41" s="92">
        <f t="shared" ca="1" si="8"/>
        <v>439670.64846</v>
      </c>
      <c r="L41" s="92">
        <f t="shared" ca="1" si="8"/>
        <v>440412.0614292</v>
      </c>
      <c r="M41" s="92">
        <f t="shared" ca="1" si="8"/>
        <v>441168.30265778402</v>
      </c>
      <c r="N41" s="92">
        <f t="shared" ca="1" si="8"/>
        <v>441939.6687109397</v>
      </c>
      <c r="O41" s="92">
        <f t="shared" ca="1" si="8"/>
        <v>442726.46208515845</v>
      </c>
      <c r="P41" s="92">
        <f t="shared" ca="1" si="8"/>
        <v>443528.99132686167</v>
      </c>
      <c r="Q41" s="92">
        <f t="shared" ca="1" si="8"/>
        <v>444347.57115339889</v>
      </c>
      <c r="R41" s="92">
        <f t="shared" ca="1" si="8"/>
        <v>445182.52257646684</v>
      </c>
      <c r="S41" s="92">
        <f t="shared" ca="1" si="8"/>
        <v>446034.17302799621</v>
      </c>
      <c r="T41" s="92">
        <f t="shared" ca="1" si="8"/>
        <v>446902.85648855614</v>
      </c>
      <c r="U41" s="92">
        <f t="shared" ca="1" si="8"/>
        <v>447788.91361832723</v>
      </c>
      <c r="V41" s="92">
        <f t="shared" ca="1" si="8"/>
        <v>448692.69189069379</v>
      </c>
      <c r="W41" s="92">
        <f t="shared" si="8"/>
        <v>0</v>
      </c>
      <c r="X41" s="92">
        <f t="shared" si="8"/>
        <v>0</v>
      </c>
      <c r="Y41" s="92">
        <f t="shared" si="8"/>
        <v>0</v>
      </c>
      <c r="Z41" s="92">
        <f t="shared" si="8"/>
        <v>0</v>
      </c>
      <c r="AA41" s="92">
        <f t="shared" si="8"/>
        <v>0</v>
      </c>
      <c r="AB41" s="92">
        <f t="shared" si="8"/>
        <v>0</v>
      </c>
      <c r="AC41" s="92">
        <f t="shared" si="8"/>
        <v>0</v>
      </c>
      <c r="AD41" s="92">
        <f t="shared" si="8"/>
        <v>0</v>
      </c>
      <c r="AE41" s="92">
        <f t="shared" si="8"/>
        <v>0</v>
      </c>
      <c r="AF41" s="92">
        <f t="shared" si="8"/>
        <v>0</v>
      </c>
      <c r="AG41" s="92">
        <f t="shared" si="8"/>
        <v>0</v>
      </c>
      <c r="AH41" s="92">
        <f t="shared" si="8"/>
        <v>0</v>
      </c>
      <c r="AI41" s="92">
        <f t="shared" si="8"/>
        <v>0</v>
      </c>
      <c r="AJ41" s="92">
        <f t="shared" si="8"/>
        <v>0</v>
      </c>
      <c r="AK41" s="92">
        <f t="shared" si="8"/>
        <v>0</v>
      </c>
    </row>
    <row r="42" spans="1:37" s="21" customFormat="1" ht="14.25" customHeight="1" x14ac:dyDescent="0.3">
      <c r="B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row>
    <row r="43" spans="1:37" s="21" customFormat="1" ht="14.25" customHeight="1" x14ac:dyDescent="0.3">
      <c r="A43" s="239" t="s">
        <v>206</v>
      </c>
      <c r="B43" s="92"/>
      <c r="H43" s="92"/>
      <c r="I43" s="92"/>
      <c r="J43" s="92"/>
      <c r="K43" s="92"/>
      <c r="L43" s="92"/>
      <c r="M43" s="92"/>
      <c r="N43" s="92"/>
      <c r="O43" s="92"/>
      <c r="P43" s="92"/>
      <c r="Q43" s="92"/>
      <c r="R43" s="83"/>
      <c r="S43" s="83"/>
      <c r="T43" s="83"/>
      <c r="U43" s="83"/>
      <c r="V43" s="83"/>
      <c r="W43" s="83"/>
      <c r="X43" s="83"/>
      <c r="Y43" s="83"/>
      <c r="Z43" s="83"/>
      <c r="AA43" s="83"/>
      <c r="AB43" s="83"/>
      <c r="AC43" s="83"/>
      <c r="AD43" s="83"/>
      <c r="AE43" s="83"/>
      <c r="AF43" s="83"/>
      <c r="AG43" s="83"/>
      <c r="AH43" s="83"/>
      <c r="AI43" s="83"/>
      <c r="AJ43" s="83"/>
      <c r="AK43" s="83"/>
    </row>
    <row r="44" spans="1:37" s="177" customFormat="1" ht="14.25" customHeight="1" x14ac:dyDescent="0.3">
      <c r="A44" s="187" t="s">
        <v>201</v>
      </c>
      <c r="B44" s="188"/>
      <c r="C44" s="177" t="s">
        <v>207</v>
      </c>
      <c r="H44" s="180" cm="1">
        <f t="array" aca="1" ref="H44" ca="1">IF(H17&gt;ev_periode_jaar,0,_xlfn.XLOOKUP("Netkosten " &amp; H36,INDIRECT("ScenarioFossiel[Kostenpost]"),ScenarioFossiel[1]))</f>
        <v>45.415199999999999</v>
      </c>
      <c r="I44" s="180" cm="1">
        <f t="array" aca="1" ref="I44" ca="1">IF(I17&gt;ev_periode_jaar,0,_xlfn.XLOOKUP("Netkosten " &amp; I36,INDIRECT("ScenarioFossiel[Kostenpost]"),ScenarioFossiel[2]))</f>
        <v>46.323504</v>
      </c>
      <c r="J44" s="180" cm="1">
        <f t="array" aca="1" ref="J44" ca="1">IF(J17&gt;ev_periode_jaar,0,_xlfn.XLOOKUP("Netkosten " &amp; J36,INDIRECT("ScenarioFossiel[Kostenpost]"),ScenarioFossiel[3]))</f>
        <v>47.249974080000001</v>
      </c>
      <c r="K44" s="180" cm="1">
        <f t="array" aca="1" ref="K44" ca="1">IF(K17&gt;ev_periode_jaar,0,_xlfn.XLOOKUP("Netkosten " &amp; K36,INDIRECT("ScenarioFossiel[Kostenpost]"),ScenarioFossiel[4]))</f>
        <v>48.194973561600001</v>
      </c>
      <c r="L44" s="180" cm="1">
        <f t="array" aca="1" ref="L44" ca="1">IF(L17&gt;ev_periode_jaar,0,_xlfn.XLOOKUP("Netkosten " &amp; L36,INDIRECT("ScenarioFossiel[Kostenpost]"),ScenarioFossiel[5]))</f>
        <v>49.158873032832005</v>
      </c>
      <c r="M44" s="180" cm="1">
        <f t="array" aca="1" ref="M44" ca="1">IF(M17&gt;ev_periode_jaar,0,_xlfn.XLOOKUP("Netkosten " &amp; M36,INDIRECT("ScenarioFossiel[Kostenpost]"),ScenarioFossiel[6]))</f>
        <v>50.142050493488647</v>
      </c>
      <c r="N44" s="180" cm="1">
        <f t="array" aca="1" ref="N44" ca="1">IF(N17&gt;ev_periode_jaar,0,_xlfn.XLOOKUP("Netkosten " &amp; N36,INDIRECT("ScenarioFossiel[Kostenpost]"),ScenarioFossiel[7]))</f>
        <v>51.144891503358423</v>
      </c>
      <c r="O44" s="180" cm="1">
        <f t="array" aca="1" ref="O44" ca="1">IF(O17&gt;ev_periode_jaar,0,_xlfn.XLOOKUP("Netkosten " &amp; O36,INDIRECT("ScenarioFossiel[Kostenpost]"),ScenarioFossiel[8]))</f>
        <v>52.167789333425596</v>
      </c>
      <c r="P44" s="180" cm="1">
        <f t="array" aca="1" ref="P44" ca="1">IF(P17&gt;ev_periode_jaar,0,_xlfn.XLOOKUP("Netkosten " &amp; P36,INDIRECT("ScenarioFossiel[Kostenpost]"),ScenarioFossiel[9]))</f>
        <v>53.211145120094109</v>
      </c>
      <c r="Q44" s="180" cm="1">
        <f t="array" aca="1" ref="Q44" ca="1">IF(Q17&gt;ev_periode_jaar,0,_xlfn.XLOOKUP("Netkosten " &amp; Q36,INDIRECT("ScenarioFossiel[Kostenpost]"),ScenarioFossiel[10]))</f>
        <v>54.275368022495989</v>
      </c>
      <c r="R44" s="180" cm="1">
        <f t="array" aca="1" ref="R44" ca="1">IF(R17&gt;ev_periode_jaar,0,_xlfn.XLOOKUP("Netkosten " &amp; R36,INDIRECT("ScenarioFossiel[Kostenpost]"),ScenarioFossiel[11]))</f>
        <v>55.360875382945913</v>
      </c>
      <c r="S44" s="180" cm="1">
        <f t="array" aca="1" ref="S44" ca="1">IF(S17&gt;ev_periode_jaar,0,_xlfn.XLOOKUP("Netkosten " &amp; S36,INDIRECT("ScenarioFossiel[Kostenpost]"),ScenarioFossiel[12]))</f>
        <v>56.468092890604829</v>
      </c>
      <c r="T44" s="180" cm="1">
        <f t="array" aca="1" ref="T44" ca="1">IF(T17&gt;ev_periode_jaar,0,_xlfn.XLOOKUP("Netkosten " &amp; T36,INDIRECT("ScenarioFossiel[Kostenpost]"),ScenarioFossiel[13]))</f>
        <v>57.597454748416929</v>
      </c>
      <c r="U44" s="180" cm="1">
        <f t="array" aca="1" ref="U44" ca="1">IF(U17&gt;ev_periode_jaar,0,_xlfn.XLOOKUP("Netkosten " &amp; U36,INDIRECT("ScenarioFossiel[Kostenpost]"),ScenarioFossiel[14]))</f>
        <v>58.749403843385267</v>
      </c>
      <c r="V44" s="180" cm="1">
        <f t="array" aca="1" ref="V44" ca="1">IF(V17&gt;ev_periode_jaar,0,_xlfn.XLOOKUP("Netkosten " &amp; V36,INDIRECT("ScenarioFossiel[Kostenpost]"),ScenarioFossiel[15]))</f>
        <v>59.924391920252972</v>
      </c>
      <c r="W44" s="180" cm="1">
        <f t="array" aca="1" ref="W44" ca="1">IF(W17&gt;ev_periode_jaar,0,_xlfn.XLOOKUP("Netkosten " &amp; W36,INDIRECT("ScenarioFossiel[Kostenpost]"),ScenarioFossiel[16]))</f>
        <v>0</v>
      </c>
      <c r="X44" s="180" cm="1">
        <f t="array" aca="1" ref="X44" ca="1">IF(X17&gt;ev_periode_jaar,0,_xlfn.XLOOKUP("Netkosten " &amp; X36,INDIRECT("ScenarioFossiel[Kostenpost]"),ScenarioFossiel[17]))</f>
        <v>0</v>
      </c>
      <c r="Y44" s="180" cm="1">
        <f t="array" aca="1" ref="Y44" ca="1">IF(Y17&gt;ev_periode_jaar,0,_xlfn.XLOOKUP("Netkosten " &amp; Y36,INDIRECT("ScenarioFossiel[Kostenpost]"),ScenarioFossiel[18]))</f>
        <v>0</v>
      </c>
      <c r="Z44" s="180" cm="1">
        <f t="array" aca="1" ref="Z44" ca="1">IF(Z17&gt;ev_periode_jaar,0,_xlfn.XLOOKUP("Netkosten " &amp; Z36,INDIRECT("ScenarioFossiel[Kostenpost]"),ScenarioFossiel[19]))</f>
        <v>0</v>
      </c>
      <c r="AA44" s="180" cm="1">
        <f t="array" aca="1" ref="AA44" ca="1">IF(AA17&gt;ev_periode_jaar,0,_xlfn.XLOOKUP("Netkosten " &amp; AA36,INDIRECT("ScenarioFossiel[Kostenpost]"),ScenarioFossiel[20]))</f>
        <v>0</v>
      </c>
      <c r="AB44" s="180" cm="1">
        <f t="array" aca="1" ref="AB44" ca="1">IF(AB17&gt;ev_periode_jaar,0,_xlfn.XLOOKUP("Netkosten " &amp; AB36,INDIRECT("ScenarioFossiel[Kostenpost]"),ScenarioFossiel[21]))</f>
        <v>0</v>
      </c>
      <c r="AC44" s="180" cm="1">
        <f t="array" aca="1" ref="AC44" ca="1">IF(AC17&gt;ev_periode_jaar,0,_xlfn.XLOOKUP("Netkosten " &amp; AC36,INDIRECT("ScenarioFossiel[Kostenpost]"),ScenarioFossiel[22]))</f>
        <v>0</v>
      </c>
      <c r="AD44" s="180" cm="1">
        <f t="array" aca="1" ref="AD44" ca="1">IF(AD17&gt;ev_periode_jaar,0,_xlfn.XLOOKUP("Netkosten " &amp; AD36,INDIRECT("ScenarioFossiel[Kostenpost]"),ScenarioFossiel[23]))</f>
        <v>0</v>
      </c>
      <c r="AE44" s="180" cm="1">
        <f t="array" aca="1" ref="AE44" ca="1">IF(AE17&gt;ev_periode_jaar,0,_xlfn.XLOOKUP("Netkosten " &amp; AE36,INDIRECT("ScenarioFossiel[Kostenpost]"),ScenarioFossiel[24]))</f>
        <v>0</v>
      </c>
      <c r="AF44" s="180" cm="1">
        <f t="array" aca="1" ref="AF44" ca="1">IF(AF17&gt;ev_periode_jaar,0,_xlfn.XLOOKUP("Netkosten " &amp; AF36,INDIRECT("ScenarioFossiel[Kostenpost]"),ScenarioFossiel[25]))</f>
        <v>0</v>
      </c>
      <c r="AG44" s="180" cm="1">
        <f t="array" aca="1" ref="AG44" ca="1">IF(AG17&gt;ev_periode_jaar,0,_xlfn.XLOOKUP("Netkosten " &amp; AG36,INDIRECT("ScenarioFossiel[Kostenpost]"),ScenarioFossiel[26]))</f>
        <v>0</v>
      </c>
      <c r="AH44" s="180" cm="1">
        <f t="array" aca="1" ref="AH44" ca="1">IF(AH17&gt;ev_periode_jaar,0,_xlfn.XLOOKUP("Netkosten " &amp; AH36,INDIRECT("ScenarioFossiel[Kostenpost]"),ScenarioFossiel[27]))</f>
        <v>0</v>
      </c>
      <c r="AI44" s="180" cm="1">
        <f t="array" aca="1" ref="AI44" ca="1">IF(AI17&gt;ev_periode_jaar,0,_xlfn.XLOOKUP("Netkosten " &amp; AI36,INDIRECT("ScenarioFossiel[Kostenpost]"),ScenarioFossiel[28]))</f>
        <v>0</v>
      </c>
      <c r="AJ44" s="180" cm="1">
        <f t="array" aca="1" ref="AJ44" ca="1">IF(AJ17&gt;ev_periode_jaar,0,_xlfn.XLOOKUP("Netkosten " &amp; AJ36,INDIRECT("ScenarioFossiel[Kostenpost]"),ScenarioFossiel[29]))</f>
        <v>0</v>
      </c>
      <c r="AK44" s="180" cm="1">
        <f t="array" aca="1" ref="AK44" ca="1">IF(AK17&gt;ev_periode_jaar,0,_xlfn.XLOOKUP("Netkosten " &amp; AK36,INDIRECT("ScenarioFossiel[Kostenpost]"),ScenarioFossiel[30]))</f>
        <v>0</v>
      </c>
    </row>
    <row r="45" spans="1:37" s="177" customFormat="1" ht="14.25" customHeight="1" x14ac:dyDescent="0.3">
      <c r="A45" s="208" t="s">
        <v>202</v>
      </c>
      <c r="B45" s="211">
        <f>B38</f>
        <v>1</v>
      </c>
      <c r="H45" s="209"/>
      <c r="I45" s="209"/>
      <c r="J45" s="209"/>
      <c r="K45" s="209"/>
      <c r="L45" s="209"/>
      <c r="M45" s="209"/>
      <c r="N45" s="209"/>
      <c r="O45" s="209"/>
      <c r="P45" s="209"/>
      <c r="Q45" s="209"/>
      <c r="R45" s="210"/>
      <c r="S45" s="210"/>
      <c r="T45" s="210"/>
      <c r="U45" s="210"/>
      <c r="V45" s="210"/>
      <c r="W45" s="210"/>
      <c r="X45" s="210"/>
      <c r="Y45" s="210"/>
      <c r="Z45" s="210"/>
      <c r="AA45" s="210"/>
      <c r="AB45" s="210"/>
      <c r="AC45" s="210"/>
      <c r="AD45" s="210"/>
      <c r="AE45" s="210"/>
      <c r="AF45" s="210"/>
      <c r="AG45" s="210"/>
      <c r="AH45" s="210"/>
      <c r="AI45" s="210"/>
      <c r="AJ45" s="210"/>
      <c r="AK45" s="210"/>
    </row>
    <row r="46" spans="1:37" s="177" customFormat="1" ht="14.25" customHeight="1" x14ac:dyDescent="0.3">
      <c r="A46" s="199" t="s">
        <v>203</v>
      </c>
      <c r="B46" s="188"/>
      <c r="C46" s="177" t="s">
        <v>64</v>
      </c>
      <c r="H46" s="193">
        <f ca="1">IF(H17&gt;ev_periode_jaar,0,IFERROR(H44*$B$45*$B$19,""))</f>
        <v>45415.199999999997</v>
      </c>
      <c r="I46" s="193">
        <f t="shared" ref="I46:AK46" ca="1" si="9">IF(I17&gt;ev_periode_jaar,0,IFERROR(I44*$B$38*$B$19,""))</f>
        <v>46323.504000000001</v>
      </c>
      <c r="J46" s="193">
        <f t="shared" ca="1" si="9"/>
        <v>47249.97408</v>
      </c>
      <c r="K46" s="193">
        <f t="shared" ca="1" si="9"/>
        <v>48194.973561600003</v>
      </c>
      <c r="L46" s="193">
        <f t="shared" ca="1" si="9"/>
        <v>49158.873032832009</v>
      </c>
      <c r="M46" s="193">
        <f t="shared" ca="1" si="9"/>
        <v>50142.050493488648</v>
      </c>
      <c r="N46" s="193">
        <f t="shared" ca="1" si="9"/>
        <v>51144.89150335842</v>
      </c>
      <c r="O46" s="193">
        <f t="shared" ca="1" si="9"/>
        <v>52167.789333425593</v>
      </c>
      <c r="P46" s="193">
        <f t="shared" ca="1" si="9"/>
        <v>53211.145120094108</v>
      </c>
      <c r="Q46" s="193">
        <f t="shared" ca="1" si="9"/>
        <v>54275.36802249599</v>
      </c>
      <c r="R46" s="193">
        <f t="shared" ca="1" si="9"/>
        <v>55360.875382945916</v>
      </c>
      <c r="S46" s="193">
        <f t="shared" ca="1" si="9"/>
        <v>56468.092890604828</v>
      </c>
      <c r="T46" s="193">
        <f t="shared" ca="1" si="9"/>
        <v>57597.454748416931</v>
      </c>
      <c r="U46" s="193">
        <f t="shared" ca="1" si="9"/>
        <v>58749.403843385269</v>
      </c>
      <c r="V46" s="193">
        <f t="shared" ca="1" si="9"/>
        <v>59924.391920252972</v>
      </c>
      <c r="W46" s="193">
        <f t="shared" si="9"/>
        <v>0</v>
      </c>
      <c r="X46" s="193">
        <f t="shared" si="9"/>
        <v>0</v>
      </c>
      <c r="Y46" s="193">
        <f t="shared" si="9"/>
        <v>0</v>
      </c>
      <c r="Z46" s="193">
        <f t="shared" si="9"/>
        <v>0</v>
      </c>
      <c r="AA46" s="193">
        <f t="shared" si="9"/>
        <v>0</v>
      </c>
      <c r="AB46" s="193">
        <f t="shared" si="9"/>
        <v>0</v>
      </c>
      <c r="AC46" s="193">
        <f t="shared" si="9"/>
        <v>0</v>
      </c>
      <c r="AD46" s="193">
        <f t="shared" si="9"/>
        <v>0</v>
      </c>
      <c r="AE46" s="193">
        <f t="shared" si="9"/>
        <v>0</v>
      </c>
      <c r="AF46" s="193">
        <f t="shared" si="9"/>
        <v>0</v>
      </c>
      <c r="AG46" s="193">
        <f t="shared" si="9"/>
        <v>0</v>
      </c>
      <c r="AH46" s="193">
        <f t="shared" si="9"/>
        <v>0</v>
      </c>
      <c r="AI46" s="193">
        <f t="shared" si="9"/>
        <v>0</v>
      </c>
      <c r="AJ46" s="193">
        <f t="shared" si="9"/>
        <v>0</v>
      </c>
      <c r="AK46" s="193">
        <f t="shared" si="9"/>
        <v>0</v>
      </c>
    </row>
    <row r="47" spans="1:37" s="177" customFormat="1" ht="14.25" customHeight="1" x14ac:dyDescent="0.3">
      <c r="A47" s="187" t="s">
        <v>204</v>
      </c>
      <c r="B47" s="92">
        <f>0.05*SUM($D$34:$G$34)</f>
        <v>402600</v>
      </c>
      <c r="C47" s="177" t="s">
        <v>64</v>
      </c>
      <c r="H47" s="213">
        <f t="shared" ref="H47:AK47" si="10">IF(H17&gt;ev_periode_jaar,0,$B$47)</f>
        <v>402600</v>
      </c>
      <c r="I47" s="213">
        <f t="shared" si="10"/>
        <v>402600</v>
      </c>
      <c r="J47" s="213">
        <f t="shared" si="10"/>
        <v>402600</v>
      </c>
      <c r="K47" s="213">
        <f t="shared" si="10"/>
        <v>402600</v>
      </c>
      <c r="L47" s="213">
        <f t="shared" si="10"/>
        <v>402600</v>
      </c>
      <c r="M47" s="213">
        <f t="shared" si="10"/>
        <v>402600</v>
      </c>
      <c r="N47" s="213">
        <f t="shared" si="10"/>
        <v>402600</v>
      </c>
      <c r="O47" s="213">
        <f t="shared" si="10"/>
        <v>402600</v>
      </c>
      <c r="P47" s="213">
        <f t="shared" si="10"/>
        <v>402600</v>
      </c>
      <c r="Q47" s="213">
        <f t="shared" si="10"/>
        <v>402600</v>
      </c>
      <c r="R47" s="213">
        <f t="shared" si="10"/>
        <v>402600</v>
      </c>
      <c r="S47" s="213">
        <f t="shared" si="10"/>
        <v>402600</v>
      </c>
      <c r="T47" s="213">
        <f t="shared" si="10"/>
        <v>402600</v>
      </c>
      <c r="U47" s="213">
        <f t="shared" si="10"/>
        <v>402600</v>
      </c>
      <c r="V47" s="213">
        <f t="shared" si="10"/>
        <v>402600</v>
      </c>
      <c r="W47" s="213">
        <f t="shared" si="10"/>
        <v>0</v>
      </c>
      <c r="X47" s="213">
        <f t="shared" si="10"/>
        <v>0</v>
      </c>
      <c r="Y47" s="213">
        <f t="shared" si="10"/>
        <v>0</v>
      </c>
      <c r="Z47" s="213">
        <f t="shared" si="10"/>
        <v>0</v>
      </c>
      <c r="AA47" s="213">
        <f t="shared" si="10"/>
        <v>0</v>
      </c>
      <c r="AB47" s="213">
        <f t="shared" si="10"/>
        <v>0</v>
      </c>
      <c r="AC47" s="213">
        <f t="shared" si="10"/>
        <v>0</v>
      </c>
      <c r="AD47" s="213">
        <f t="shared" si="10"/>
        <v>0</v>
      </c>
      <c r="AE47" s="213">
        <f t="shared" si="10"/>
        <v>0</v>
      </c>
      <c r="AF47" s="213">
        <f t="shared" si="10"/>
        <v>0</v>
      </c>
      <c r="AG47" s="213">
        <f t="shared" si="10"/>
        <v>0</v>
      </c>
      <c r="AH47" s="213">
        <f t="shared" si="10"/>
        <v>0</v>
      </c>
      <c r="AI47" s="213">
        <f t="shared" si="10"/>
        <v>0</v>
      </c>
      <c r="AJ47" s="213">
        <f t="shared" si="10"/>
        <v>0</v>
      </c>
      <c r="AK47" s="213">
        <f t="shared" si="10"/>
        <v>0</v>
      </c>
    </row>
    <row r="48" spans="1:37" s="177" customFormat="1" ht="14.25" customHeight="1" x14ac:dyDescent="0.3">
      <c r="A48" s="183" t="s">
        <v>205</v>
      </c>
      <c r="C48" s="177" t="s">
        <v>64</v>
      </c>
      <c r="H48" s="188">
        <f t="shared" ref="H48:AK48" ca="1" si="11">IF(H17&gt;ev_periode_jaar,0,IFERROR(ABS(H46)+ABS(H47),""))</f>
        <v>448015.2</v>
      </c>
      <c r="I48" s="188">
        <f t="shared" ca="1" si="11"/>
        <v>448923.50400000002</v>
      </c>
      <c r="J48" s="188">
        <f t="shared" ca="1" si="11"/>
        <v>449849.97408000001</v>
      </c>
      <c r="K48" s="188">
        <f t="shared" ca="1" si="11"/>
        <v>450794.97356160003</v>
      </c>
      <c r="L48" s="188">
        <f t="shared" ca="1" si="11"/>
        <v>451758.87303283199</v>
      </c>
      <c r="M48" s="188">
        <f t="shared" ca="1" si="11"/>
        <v>452742.05049348867</v>
      </c>
      <c r="N48" s="188">
        <f t="shared" ca="1" si="11"/>
        <v>453744.89150335843</v>
      </c>
      <c r="O48" s="188">
        <f t="shared" ca="1" si="11"/>
        <v>454767.78933342558</v>
      </c>
      <c r="P48" s="188">
        <f t="shared" ca="1" si="11"/>
        <v>455811.14512009412</v>
      </c>
      <c r="Q48" s="188">
        <f t="shared" ca="1" si="11"/>
        <v>456875.368022496</v>
      </c>
      <c r="R48" s="188">
        <f t="shared" ca="1" si="11"/>
        <v>457960.87538294593</v>
      </c>
      <c r="S48" s="188">
        <f t="shared" ca="1" si="11"/>
        <v>459068.09289060481</v>
      </c>
      <c r="T48" s="188">
        <f t="shared" ca="1" si="11"/>
        <v>460197.4547484169</v>
      </c>
      <c r="U48" s="188">
        <f t="shared" ca="1" si="11"/>
        <v>461349.40384338528</v>
      </c>
      <c r="V48" s="188">
        <f t="shared" ca="1" si="11"/>
        <v>462524.39192025299</v>
      </c>
      <c r="W48" s="188">
        <f t="shared" si="11"/>
        <v>0</v>
      </c>
      <c r="X48" s="188">
        <f t="shared" si="11"/>
        <v>0</v>
      </c>
      <c r="Y48" s="188">
        <f t="shared" si="11"/>
        <v>0</v>
      </c>
      <c r="Z48" s="188">
        <f t="shared" si="11"/>
        <v>0</v>
      </c>
      <c r="AA48" s="188">
        <f t="shared" si="11"/>
        <v>0</v>
      </c>
      <c r="AB48" s="188">
        <f t="shared" si="11"/>
        <v>0</v>
      </c>
      <c r="AC48" s="188">
        <f t="shared" si="11"/>
        <v>0</v>
      </c>
      <c r="AD48" s="188">
        <f t="shared" si="11"/>
        <v>0</v>
      </c>
      <c r="AE48" s="188">
        <f t="shared" si="11"/>
        <v>0</v>
      </c>
      <c r="AF48" s="188">
        <f t="shared" si="11"/>
        <v>0</v>
      </c>
      <c r="AG48" s="188">
        <f t="shared" si="11"/>
        <v>0</v>
      </c>
      <c r="AH48" s="188">
        <f t="shared" si="11"/>
        <v>0</v>
      </c>
      <c r="AI48" s="188">
        <f t="shared" si="11"/>
        <v>0</v>
      </c>
      <c r="AJ48" s="188">
        <f t="shared" si="11"/>
        <v>0</v>
      </c>
      <c r="AK48" s="188">
        <f t="shared" si="11"/>
        <v>0</v>
      </c>
    </row>
    <row r="49" spans="1:37" s="21" customFormat="1" ht="14.25" customHeight="1" x14ac:dyDescent="0.3">
      <c r="A49" s="76"/>
      <c r="B49" s="92"/>
      <c r="H49" s="92"/>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row>
    <row r="50" spans="1:37" s="21" customFormat="1" ht="14.25" customHeight="1" x14ac:dyDescent="0.3">
      <c r="A50" s="239" t="s">
        <v>208</v>
      </c>
      <c r="B50" s="92"/>
      <c r="H50" s="92"/>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row>
    <row r="51" spans="1:37" s="177" customFormat="1" ht="14.25" customHeight="1" x14ac:dyDescent="0.3">
      <c r="A51" s="187" t="s">
        <v>201</v>
      </c>
      <c r="B51" s="188"/>
      <c r="C51" s="177" t="s">
        <v>207</v>
      </c>
      <c r="H51" s="180" cm="1">
        <f t="array" aca="1" ref="H51" ca="1">IF(H17&gt;ev_periode_jaar,0,_xlfn.XLOOKUP("Netkosten " &amp; H36,INDIRECT("ScenarioElektrisch[Kostenpost]"),ScenarioElektrisch[1]))</f>
        <v>45.415199999999999</v>
      </c>
      <c r="I51" s="180" cm="1">
        <f t="array" aca="1" ref="I51" ca="1">IF(I17&gt;ev_periode_jaar,0,_xlfn.XLOOKUP("Netkosten " &amp; I36,INDIRECT("ScenarioElektrisch[Kostenpost]"),ScenarioElektrisch[2]))</f>
        <v>46.323504</v>
      </c>
      <c r="J51" s="180" cm="1">
        <f t="array" aca="1" ref="J51" ca="1">IF(J17&gt;ev_periode_jaar,0,_xlfn.XLOOKUP("Netkosten " &amp; J36,INDIRECT("ScenarioElektrisch[Kostenpost]"),ScenarioElektrisch[3]))</f>
        <v>47.249974080000001</v>
      </c>
      <c r="K51" s="180" cm="1">
        <f t="array" aca="1" ref="K51" ca="1">IF(K17&gt;ev_periode_jaar,0,_xlfn.XLOOKUP("Netkosten " &amp; K36,INDIRECT("ScenarioElektrisch[Kostenpost]"),ScenarioElektrisch[4]))</f>
        <v>48.194973561600001</v>
      </c>
      <c r="L51" s="180" cm="1">
        <f t="array" aca="1" ref="L51" ca="1">IF(L17&gt;ev_periode_jaar,0,_xlfn.XLOOKUP("Netkosten " &amp; L36,INDIRECT("ScenarioElektrisch[Kostenpost]"),ScenarioElektrisch[5]))</f>
        <v>49.158873032832005</v>
      </c>
      <c r="M51" s="180" cm="1">
        <f t="array" aca="1" ref="M51" ca="1">IF(M17&gt;ev_periode_jaar,0,_xlfn.XLOOKUP("Netkosten " &amp; M36,INDIRECT("ScenarioElektrisch[Kostenpost]"),ScenarioElektrisch[6]))</f>
        <v>50.142050493488647</v>
      </c>
      <c r="N51" s="180" cm="1">
        <f t="array" aca="1" ref="N51" ca="1">IF(N17&gt;ev_periode_jaar,0,_xlfn.XLOOKUP("Netkosten " &amp; N36,INDIRECT("ScenarioElektrisch[Kostenpost]"),ScenarioElektrisch[7]))</f>
        <v>51.144891503358423</v>
      </c>
      <c r="O51" s="180" cm="1">
        <f t="array" aca="1" ref="O51" ca="1">IF(O17&gt;ev_periode_jaar,0,_xlfn.XLOOKUP("Netkosten " &amp; O36,INDIRECT("ScenarioElektrisch[Kostenpost]"),ScenarioElektrisch[8]))</f>
        <v>52.167789333425596</v>
      </c>
      <c r="P51" s="180" cm="1">
        <f t="array" aca="1" ref="P51" ca="1">IF(P17&gt;ev_periode_jaar,0,_xlfn.XLOOKUP("Netkosten " &amp; P36,INDIRECT("ScenarioElektrisch[Kostenpost]"),ScenarioElektrisch[9]))</f>
        <v>53.211145120094109</v>
      </c>
      <c r="Q51" s="180" cm="1">
        <f t="array" aca="1" ref="Q51" ca="1">IF(Q17&gt;ev_periode_jaar,0,_xlfn.XLOOKUP("Netkosten " &amp; Q36,INDIRECT("ScenarioElektrisch[Kostenpost]"),ScenarioElektrisch[10]))</f>
        <v>54.275368022495989</v>
      </c>
      <c r="R51" s="180" cm="1">
        <f t="array" aca="1" ref="R51" ca="1">IF(R17&gt;ev_periode_jaar,0,_xlfn.XLOOKUP("Netkosten " &amp; R36,INDIRECT("ScenarioElektrisch[Kostenpost]"),ScenarioElektrisch[11]))</f>
        <v>55.360875382945913</v>
      </c>
      <c r="S51" s="180" cm="1">
        <f t="array" aca="1" ref="S51" ca="1">IF(S17&gt;ev_periode_jaar,0,_xlfn.XLOOKUP("Netkosten " &amp; S36,INDIRECT("ScenarioElektrisch[Kostenpost]"),ScenarioElektrisch[12]))</f>
        <v>56.468092890604829</v>
      </c>
      <c r="T51" s="180" cm="1">
        <f t="array" aca="1" ref="T51" ca="1">IF(T17&gt;ev_periode_jaar,0,_xlfn.XLOOKUP("Netkosten " &amp; T36,INDIRECT("ScenarioElektrisch[Kostenpost]"),ScenarioElektrisch[13]))</f>
        <v>57.597454748416929</v>
      </c>
      <c r="U51" s="180" cm="1">
        <f t="array" aca="1" ref="U51" ca="1">IF(U17&gt;ev_periode_jaar,0,_xlfn.XLOOKUP("Netkosten " &amp; U36,INDIRECT("ScenarioElektrisch[Kostenpost]"),ScenarioElektrisch[14]))</f>
        <v>58.749403843385267</v>
      </c>
      <c r="V51" s="180" cm="1">
        <f t="array" aca="1" ref="V51" ca="1">IF(V17&gt;ev_periode_jaar,0,_xlfn.XLOOKUP("Netkosten " &amp; V36,INDIRECT("ScenarioElektrisch[Kostenpost]"),ScenarioElektrisch[15]))</f>
        <v>59.924391920252972</v>
      </c>
      <c r="W51" s="180" cm="1">
        <f t="array" aca="1" ref="W51" ca="1">IF(W17&gt;ev_periode_jaar,0,_xlfn.XLOOKUP("Netkosten " &amp; W36,INDIRECT("ScenarioElektrisch[Kostenpost]"),ScenarioElektrisch[16]))</f>
        <v>0</v>
      </c>
      <c r="X51" s="180" cm="1">
        <f t="array" aca="1" ref="X51" ca="1">IF(X17&gt;ev_periode_jaar,0,_xlfn.XLOOKUP("Netkosten " &amp; X36,INDIRECT("ScenarioElektrisch[Kostenpost]"),ScenarioElektrisch[17]))</f>
        <v>0</v>
      </c>
      <c r="Y51" s="180" cm="1">
        <f t="array" aca="1" ref="Y51" ca="1">IF(Y17&gt;ev_periode_jaar,0,_xlfn.XLOOKUP("Netkosten " &amp; Y36,INDIRECT("ScenarioElektrisch[Kostenpost]"),ScenarioElektrisch[18]))</f>
        <v>0</v>
      </c>
      <c r="Z51" s="180" cm="1">
        <f t="array" aca="1" ref="Z51" ca="1">IF(Z17&gt;ev_periode_jaar,0,_xlfn.XLOOKUP("Netkosten " &amp; Z36,INDIRECT("ScenarioElektrisch[Kostenpost]"),ScenarioElektrisch[19]))</f>
        <v>0</v>
      </c>
      <c r="AA51" s="180" cm="1">
        <f t="array" aca="1" ref="AA51" ca="1">IF(AA17&gt;ev_periode_jaar,0,_xlfn.XLOOKUP("Netkosten " &amp; AA36,INDIRECT("ScenarioElektrisch[Kostenpost]"),ScenarioElektrisch[20]))</f>
        <v>0</v>
      </c>
      <c r="AB51" s="180" cm="1">
        <f t="array" aca="1" ref="AB51" ca="1">IF(AB17&gt;ev_periode_jaar,0,_xlfn.XLOOKUP("Netkosten " &amp; AB36,INDIRECT("ScenarioElektrisch[Kostenpost]"),ScenarioElektrisch[21]))</f>
        <v>0</v>
      </c>
      <c r="AC51" s="180" cm="1">
        <f t="array" aca="1" ref="AC51" ca="1">IF(AC17&gt;ev_periode_jaar,0,_xlfn.XLOOKUP("Netkosten " &amp; AC36,INDIRECT("ScenarioElektrisch[Kostenpost]"),ScenarioElektrisch[22]))</f>
        <v>0</v>
      </c>
      <c r="AD51" s="180" cm="1">
        <f t="array" aca="1" ref="AD51" ca="1">IF(AD17&gt;ev_periode_jaar,0,_xlfn.XLOOKUP("Netkosten " &amp; AD36,INDIRECT("ScenarioElektrisch[Kostenpost]"),ScenarioElektrisch[23]))</f>
        <v>0</v>
      </c>
      <c r="AE51" s="180" cm="1">
        <f t="array" aca="1" ref="AE51" ca="1">IF(AE17&gt;ev_periode_jaar,0,_xlfn.XLOOKUP("Netkosten " &amp; AE36,INDIRECT("ScenarioElektrisch[Kostenpost]"),ScenarioElektrisch[24]))</f>
        <v>0</v>
      </c>
      <c r="AF51" s="180" cm="1">
        <f t="array" aca="1" ref="AF51" ca="1">IF(AF17&gt;ev_periode_jaar,0,_xlfn.XLOOKUP("Netkosten " &amp; AF36,INDIRECT("ScenarioElektrisch[Kostenpost]"),ScenarioElektrisch[25]))</f>
        <v>0</v>
      </c>
      <c r="AG51" s="180" cm="1">
        <f t="array" aca="1" ref="AG51" ca="1">IF(AG17&gt;ev_periode_jaar,0,_xlfn.XLOOKUP("Netkosten " &amp; AG36,INDIRECT("ScenarioElektrisch[Kostenpost]"),ScenarioElektrisch[26]))</f>
        <v>0</v>
      </c>
      <c r="AH51" s="180" cm="1">
        <f t="array" aca="1" ref="AH51" ca="1">IF(AH17&gt;ev_periode_jaar,0,_xlfn.XLOOKUP("Netkosten " &amp; AH36,INDIRECT("ScenarioElektrisch[Kostenpost]"),ScenarioElektrisch[27]))</f>
        <v>0</v>
      </c>
      <c r="AI51" s="180" cm="1">
        <f t="array" aca="1" ref="AI51" ca="1">IF(AI17&gt;ev_periode_jaar,0,_xlfn.XLOOKUP("Netkosten " &amp; AI36,INDIRECT("ScenarioElektrisch[Kostenpost]"),ScenarioElektrisch[28]))</f>
        <v>0</v>
      </c>
      <c r="AJ51" s="180" cm="1">
        <f t="array" aca="1" ref="AJ51" ca="1">IF(AJ17&gt;ev_periode_jaar,0,_xlfn.XLOOKUP("Netkosten " &amp; AJ36,INDIRECT("ScenarioElektrisch[Kostenpost]"),ScenarioElektrisch[29]))</f>
        <v>0</v>
      </c>
      <c r="AK51" s="180" cm="1">
        <f t="array" aca="1" ref="AK51" ca="1">IF(AK17&gt;ev_periode_jaar,0,_xlfn.XLOOKUP("Netkosten " &amp; AK36,INDIRECT("ScenarioElektrisch[Kostenpost]"),ScenarioElektrisch[30]))</f>
        <v>0</v>
      </c>
    </row>
    <row r="52" spans="1:37" s="177" customFormat="1" ht="14.25" customHeight="1" x14ac:dyDescent="0.3">
      <c r="A52" s="208" t="s">
        <v>202</v>
      </c>
      <c r="B52" s="211">
        <f>B38</f>
        <v>1</v>
      </c>
      <c r="H52" s="209"/>
      <c r="I52" s="209"/>
      <c r="J52" s="209"/>
      <c r="K52" s="209"/>
      <c r="L52" s="209"/>
      <c r="M52" s="209"/>
      <c r="N52" s="209"/>
      <c r="O52" s="209"/>
      <c r="P52" s="209"/>
      <c r="Q52" s="209"/>
      <c r="R52" s="210"/>
      <c r="S52" s="210"/>
      <c r="T52" s="210"/>
      <c r="U52" s="210"/>
      <c r="V52" s="210"/>
      <c r="W52" s="210"/>
      <c r="X52" s="210"/>
      <c r="Y52" s="210"/>
      <c r="Z52" s="210"/>
      <c r="AA52" s="210"/>
      <c r="AB52" s="210"/>
      <c r="AC52" s="210"/>
      <c r="AD52" s="210"/>
      <c r="AE52" s="210"/>
      <c r="AF52" s="210"/>
      <c r="AG52" s="210"/>
      <c r="AH52" s="210"/>
      <c r="AI52" s="210"/>
      <c r="AJ52" s="210"/>
      <c r="AK52" s="210"/>
    </row>
    <row r="53" spans="1:37" s="177" customFormat="1" ht="14.25" customHeight="1" x14ac:dyDescent="0.3">
      <c r="A53" s="199" t="s">
        <v>203</v>
      </c>
      <c r="B53" s="188"/>
      <c r="C53" s="177" t="s">
        <v>64</v>
      </c>
      <c r="H53" s="193">
        <f t="shared" ref="H53:AK53" ca="1" si="12">IF(H17&gt;ev_periode_jaar,0,IFERROR(H51*$B$52*$B$19,""))</f>
        <v>45415.199999999997</v>
      </c>
      <c r="I53" s="193">
        <f t="shared" ca="1" si="12"/>
        <v>46323.504000000001</v>
      </c>
      <c r="J53" s="193">
        <f t="shared" ca="1" si="12"/>
        <v>47249.97408</v>
      </c>
      <c r="K53" s="193">
        <f t="shared" ca="1" si="12"/>
        <v>48194.973561600003</v>
      </c>
      <c r="L53" s="193">
        <f t="shared" ca="1" si="12"/>
        <v>49158.873032832009</v>
      </c>
      <c r="M53" s="193">
        <f t="shared" ca="1" si="12"/>
        <v>50142.050493488648</v>
      </c>
      <c r="N53" s="193">
        <f t="shared" ca="1" si="12"/>
        <v>51144.89150335842</v>
      </c>
      <c r="O53" s="193">
        <f t="shared" ca="1" si="12"/>
        <v>52167.789333425593</v>
      </c>
      <c r="P53" s="193">
        <f t="shared" ca="1" si="12"/>
        <v>53211.145120094108</v>
      </c>
      <c r="Q53" s="193">
        <f t="shared" ca="1" si="12"/>
        <v>54275.36802249599</v>
      </c>
      <c r="R53" s="193">
        <f t="shared" ca="1" si="12"/>
        <v>55360.875382945916</v>
      </c>
      <c r="S53" s="193">
        <f t="shared" ca="1" si="12"/>
        <v>56468.092890604828</v>
      </c>
      <c r="T53" s="193">
        <f t="shared" ca="1" si="12"/>
        <v>57597.454748416931</v>
      </c>
      <c r="U53" s="193">
        <f t="shared" ca="1" si="12"/>
        <v>58749.403843385269</v>
      </c>
      <c r="V53" s="193">
        <f t="shared" ca="1" si="12"/>
        <v>59924.391920252972</v>
      </c>
      <c r="W53" s="193">
        <f t="shared" si="12"/>
        <v>0</v>
      </c>
      <c r="X53" s="193">
        <f t="shared" si="12"/>
        <v>0</v>
      </c>
      <c r="Y53" s="193">
        <f t="shared" si="12"/>
        <v>0</v>
      </c>
      <c r="Z53" s="193">
        <f t="shared" si="12"/>
        <v>0</v>
      </c>
      <c r="AA53" s="193">
        <f t="shared" si="12"/>
        <v>0</v>
      </c>
      <c r="AB53" s="193">
        <f t="shared" si="12"/>
        <v>0</v>
      </c>
      <c r="AC53" s="193">
        <f t="shared" si="12"/>
        <v>0</v>
      </c>
      <c r="AD53" s="193">
        <f t="shared" si="12"/>
        <v>0</v>
      </c>
      <c r="AE53" s="193">
        <f t="shared" si="12"/>
        <v>0</v>
      </c>
      <c r="AF53" s="193">
        <f t="shared" si="12"/>
        <v>0</v>
      </c>
      <c r="AG53" s="193">
        <f t="shared" si="12"/>
        <v>0</v>
      </c>
      <c r="AH53" s="193">
        <f t="shared" si="12"/>
        <v>0</v>
      </c>
      <c r="AI53" s="193">
        <f t="shared" si="12"/>
        <v>0</v>
      </c>
      <c r="AJ53" s="193">
        <f t="shared" si="12"/>
        <v>0</v>
      </c>
      <c r="AK53" s="193">
        <f t="shared" si="12"/>
        <v>0</v>
      </c>
    </row>
    <row r="54" spans="1:37" s="177" customFormat="1" ht="14.25" customHeight="1" x14ac:dyDescent="0.3">
      <c r="A54" s="187" t="s">
        <v>204</v>
      </c>
      <c r="B54" s="92">
        <f>0.05*SUM($D$34:$G$34)</f>
        <v>402600</v>
      </c>
      <c r="C54" s="177" t="s">
        <v>64</v>
      </c>
      <c r="H54" s="213">
        <f t="shared" ref="H54:AK54" si="13">IF(H17&gt;ev_periode_jaar,0,$B$54)</f>
        <v>402600</v>
      </c>
      <c r="I54" s="213">
        <f t="shared" si="13"/>
        <v>402600</v>
      </c>
      <c r="J54" s="213">
        <f t="shared" si="13"/>
        <v>402600</v>
      </c>
      <c r="K54" s="213">
        <f t="shared" si="13"/>
        <v>402600</v>
      </c>
      <c r="L54" s="213">
        <f t="shared" si="13"/>
        <v>402600</v>
      </c>
      <c r="M54" s="213">
        <f t="shared" si="13"/>
        <v>402600</v>
      </c>
      <c r="N54" s="213">
        <f t="shared" si="13"/>
        <v>402600</v>
      </c>
      <c r="O54" s="213">
        <f t="shared" si="13"/>
        <v>402600</v>
      </c>
      <c r="P54" s="213">
        <f t="shared" si="13"/>
        <v>402600</v>
      </c>
      <c r="Q54" s="213">
        <f t="shared" si="13"/>
        <v>402600</v>
      </c>
      <c r="R54" s="213">
        <f t="shared" si="13"/>
        <v>402600</v>
      </c>
      <c r="S54" s="213">
        <f t="shared" si="13"/>
        <v>402600</v>
      </c>
      <c r="T54" s="213">
        <f t="shared" si="13"/>
        <v>402600</v>
      </c>
      <c r="U54" s="213">
        <f t="shared" si="13"/>
        <v>402600</v>
      </c>
      <c r="V54" s="213">
        <f t="shared" si="13"/>
        <v>402600</v>
      </c>
      <c r="W54" s="213">
        <f t="shared" si="13"/>
        <v>0</v>
      </c>
      <c r="X54" s="213">
        <f t="shared" si="13"/>
        <v>0</v>
      </c>
      <c r="Y54" s="213">
        <f t="shared" si="13"/>
        <v>0</v>
      </c>
      <c r="Z54" s="213">
        <f t="shared" si="13"/>
        <v>0</v>
      </c>
      <c r="AA54" s="213">
        <f t="shared" si="13"/>
        <v>0</v>
      </c>
      <c r="AB54" s="213">
        <f t="shared" si="13"/>
        <v>0</v>
      </c>
      <c r="AC54" s="213">
        <f t="shared" si="13"/>
        <v>0</v>
      </c>
      <c r="AD54" s="213">
        <f t="shared" si="13"/>
        <v>0</v>
      </c>
      <c r="AE54" s="213">
        <f t="shared" si="13"/>
        <v>0</v>
      </c>
      <c r="AF54" s="213">
        <f t="shared" si="13"/>
        <v>0</v>
      </c>
      <c r="AG54" s="213">
        <f t="shared" si="13"/>
        <v>0</v>
      </c>
      <c r="AH54" s="213">
        <f t="shared" si="13"/>
        <v>0</v>
      </c>
      <c r="AI54" s="213">
        <f t="shared" si="13"/>
        <v>0</v>
      </c>
      <c r="AJ54" s="213">
        <f t="shared" si="13"/>
        <v>0</v>
      </c>
      <c r="AK54" s="213">
        <f t="shared" si="13"/>
        <v>0</v>
      </c>
    </row>
    <row r="55" spans="1:37" s="21" customFormat="1" ht="14.1" customHeight="1" x14ac:dyDescent="0.3">
      <c r="A55" s="183" t="s">
        <v>205</v>
      </c>
      <c r="B55" s="188"/>
      <c r="C55" s="177" t="s">
        <v>64</v>
      </c>
      <c r="D55" s="177"/>
      <c r="E55" s="177"/>
      <c r="F55" s="177"/>
      <c r="G55" s="177"/>
      <c r="H55" s="188">
        <f t="shared" ref="H55:AK55" ca="1" si="14">IF(H17&gt;ev_periode_jaar,0,IFERROR(ABS(H53)+ABS(H54),""))</f>
        <v>448015.2</v>
      </c>
      <c r="I55" s="188">
        <f t="shared" ca="1" si="14"/>
        <v>448923.50400000002</v>
      </c>
      <c r="J55" s="188">
        <f t="shared" ca="1" si="14"/>
        <v>449849.97408000001</v>
      </c>
      <c r="K55" s="188">
        <f t="shared" ca="1" si="14"/>
        <v>450794.97356160003</v>
      </c>
      <c r="L55" s="188">
        <f t="shared" ca="1" si="14"/>
        <v>451758.87303283199</v>
      </c>
      <c r="M55" s="188">
        <f t="shared" ca="1" si="14"/>
        <v>452742.05049348867</v>
      </c>
      <c r="N55" s="188">
        <f t="shared" ca="1" si="14"/>
        <v>453744.89150335843</v>
      </c>
      <c r="O55" s="188">
        <f t="shared" ca="1" si="14"/>
        <v>454767.78933342558</v>
      </c>
      <c r="P55" s="188">
        <f t="shared" ca="1" si="14"/>
        <v>455811.14512009412</v>
      </c>
      <c r="Q55" s="188">
        <f t="shared" ca="1" si="14"/>
        <v>456875.368022496</v>
      </c>
      <c r="R55" s="188">
        <f t="shared" ca="1" si="14"/>
        <v>457960.87538294593</v>
      </c>
      <c r="S55" s="188">
        <f t="shared" ca="1" si="14"/>
        <v>459068.09289060481</v>
      </c>
      <c r="T55" s="188">
        <f t="shared" ca="1" si="14"/>
        <v>460197.4547484169</v>
      </c>
      <c r="U55" s="188">
        <f t="shared" ca="1" si="14"/>
        <v>461349.40384338528</v>
      </c>
      <c r="V55" s="188">
        <f t="shared" ca="1" si="14"/>
        <v>462524.39192025299</v>
      </c>
      <c r="W55" s="188">
        <f t="shared" si="14"/>
        <v>0</v>
      </c>
      <c r="X55" s="188">
        <f t="shared" si="14"/>
        <v>0</v>
      </c>
      <c r="Y55" s="188">
        <f t="shared" si="14"/>
        <v>0</v>
      </c>
      <c r="Z55" s="188">
        <f t="shared" si="14"/>
        <v>0</v>
      </c>
      <c r="AA55" s="188">
        <f t="shared" si="14"/>
        <v>0</v>
      </c>
      <c r="AB55" s="188">
        <f t="shared" si="14"/>
        <v>0</v>
      </c>
      <c r="AC55" s="188">
        <f t="shared" si="14"/>
        <v>0</v>
      </c>
      <c r="AD55" s="188">
        <f t="shared" si="14"/>
        <v>0</v>
      </c>
      <c r="AE55" s="188">
        <f t="shared" si="14"/>
        <v>0</v>
      </c>
      <c r="AF55" s="188">
        <f t="shared" si="14"/>
        <v>0</v>
      </c>
      <c r="AG55" s="188">
        <f t="shared" si="14"/>
        <v>0</v>
      </c>
      <c r="AH55" s="188">
        <f t="shared" si="14"/>
        <v>0</v>
      </c>
      <c r="AI55" s="188">
        <f t="shared" si="14"/>
        <v>0</v>
      </c>
      <c r="AJ55" s="188">
        <f t="shared" si="14"/>
        <v>0</v>
      </c>
      <c r="AK55" s="188">
        <f t="shared" si="14"/>
        <v>0</v>
      </c>
    </row>
    <row r="56" spans="1:37" s="21" customFormat="1" ht="14.25" customHeight="1" x14ac:dyDescent="0.3">
      <c r="A56" s="76"/>
      <c r="B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row>
    <row r="57" spans="1:37" s="21" customFormat="1" ht="14.25" customHeight="1" x14ac:dyDescent="0.3">
      <c r="A57" s="87" t="s">
        <v>209</v>
      </c>
      <c r="B57" s="92"/>
      <c r="H57" s="92"/>
      <c r="I57" s="92"/>
      <c r="J57" s="92"/>
      <c r="K57" s="92"/>
      <c r="L57" s="92"/>
      <c r="M57" s="92"/>
      <c r="N57" s="92"/>
      <c r="O57" s="92"/>
      <c r="P57" s="92"/>
      <c r="Q57" s="92"/>
      <c r="R57" s="92"/>
      <c r="S57" s="92"/>
      <c r="T57" s="92"/>
      <c r="U57" s="92"/>
      <c r="V57" s="92"/>
      <c r="W57" s="92"/>
      <c r="X57" s="92"/>
      <c r="Y57" s="92"/>
      <c r="Z57" s="92"/>
      <c r="AA57" s="92"/>
      <c r="AB57" s="92"/>
      <c r="AC57" s="92"/>
      <c r="AD57" s="92"/>
      <c r="AE57" s="92"/>
      <c r="AF57" s="92"/>
      <c r="AG57" s="92"/>
      <c r="AH57" s="92"/>
      <c r="AI57" s="92"/>
      <c r="AJ57" s="92"/>
      <c r="AK57" s="92"/>
    </row>
    <row r="58" spans="1:37" s="21" customFormat="1" ht="14.25" customHeight="1" x14ac:dyDescent="0.3">
      <c r="A58" s="171" t="s">
        <v>210</v>
      </c>
      <c r="B58" s="33"/>
      <c r="C58" s="21" t="s">
        <v>62</v>
      </c>
      <c r="H58" s="295">
        <f>IF(H17&gt;ev_periode_jaar,0,Achtergrondparameters!C28)</f>
        <v>0.1</v>
      </c>
      <c r="I58" s="295">
        <f>IF(I17&gt;ev_periode_jaar,0,Achtergrondparameters!D28)</f>
        <v>0.10083623346459537</v>
      </c>
      <c r="J58" s="295">
        <f>IF(J17&gt;ev_periode_jaar,0,Achtergrondparameters!E28)</f>
        <v>0.10167246692919074</v>
      </c>
      <c r="K58" s="295">
        <f>IF(K17&gt;ev_periode_jaar,0,Achtergrondparameters!F28)</f>
        <v>0.1025087003937861</v>
      </c>
      <c r="L58" s="295">
        <f>IF(L17&gt;ev_periode_jaar,0,Achtergrondparameters!G28)</f>
        <v>0.10334493385838146</v>
      </c>
      <c r="M58" s="295">
        <f>IF(M17&gt;ev_periode_jaar,0,Achtergrondparameters!H28)</f>
        <v>0.10418116732297683</v>
      </c>
      <c r="N58" s="295">
        <f>IF(N17&gt;ev_periode_jaar,0,Achtergrondparameters!I28)</f>
        <v>0.10527877274095464</v>
      </c>
      <c r="O58" s="295">
        <f>IF(O17&gt;ev_periode_jaar,0,Achtergrondparameters!J28)</f>
        <v>0.10637637815893244</v>
      </c>
      <c r="P58" s="295">
        <f>IF(P17&gt;ev_periode_jaar,0,Achtergrondparameters!K28)</f>
        <v>0.10747398357691026</v>
      </c>
      <c r="Q58" s="295">
        <f>IF(Q17&gt;ev_periode_jaar,0,Achtergrondparameters!L28)</f>
        <v>0.10857158899488807</v>
      </c>
      <c r="R58" s="295">
        <f>IF(R17&gt;ev_periode_jaar,0,Achtergrondparameters!M28)</f>
        <v>0.10966919441286588</v>
      </c>
      <c r="S58" s="295">
        <f>IF(S17&gt;ev_periode_jaar,0,Achtergrondparameters!N28)</f>
        <v>0.10867629495000843</v>
      </c>
      <c r="T58" s="295">
        <f>IF(T17&gt;ev_periode_jaar,0,Achtergrondparameters!O28)</f>
        <v>0.10768339548715097</v>
      </c>
      <c r="U58" s="295">
        <f>IF(U17&gt;ev_periode_jaar,0,Achtergrondparameters!P28)</f>
        <v>0.10669049602429351</v>
      </c>
      <c r="V58" s="295">
        <f>IF(V17&gt;ev_periode_jaar,0,Achtergrondparameters!Q28)</f>
        <v>0.10569759656143606</v>
      </c>
      <c r="W58" s="295">
        <f>IF(W17&gt;ev_periode_jaar,0,Achtergrondparameters!R28)</f>
        <v>0</v>
      </c>
      <c r="X58" s="295">
        <f>IF(X17&gt;ev_periode_jaar,0,Achtergrondparameters!S28)</f>
        <v>0</v>
      </c>
      <c r="Y58" s="295">
        <f>IF(Y17&gt;ev_periode_jaar,0,Achtergrondparameters!T28)</f>
        <v>0</v>
      </c>
      <c r="Z58" s="295">
        <f>IF(Z17&gt;ev_periode_jaar,0,Achtergrondparameters!U28)</f>
        <v>0</v>
      </c>
      <c r="AA58" s="295">
        <f>IF(AA17&gt;ev_periode_jaar,0,Achtergrondparameters!V28)</f>
        <v>0</v>
      </c>
      <c r="AB58" s="295">
        <f>IF(AB17&gt;ev_periode_jaar,0,Achtergrondparameters!W28)</f>
        <v>0</v>
      </c>
      <c r="AC58" s="295">
        <f>IF(AC17&gt;ev_periode_jaar,0,Achtergrondparameters!X28)</f>
        <v>0</v>
      </c>
      <c r="AD58" s="295">
        <f>IF(AD17&gt;ev_periode_jaar,0,Achtergrondparameters!Y28)</f>
        <v>0</v>
      </c>
      <c r="AE58" s="295">
        <f>IF(AE17&gt;ev_periode_jaar,0,Achtergrondparameters!Z28)</f>
        <v>0</v>
      </c>
      <c r="AF58" s="295">
        <f>IF(AF17&gt;ev_periode_jaar,0,Achtergrondparameters!AA28)</f>
        <v>0</v>
      </c>
      <c r="AG58" s="295">
        <f>IF(AG17&gt;ev_periode_jaar,0,Achtergrondparameters!AB28)</f>
        <v>0</v>
      </c>
      <c r="AH58" s="295">
        <f>IF(AH17&gt;ev_periode_jaar,0,Achtergrondparameters!AC28)</f>
        <v>0</v>
      </c>
      <c r="AI58" s="295">
        <f>IF(AI17&gt;ev_periode_jaar,0,Achtergrondparameters!AD28)</f>
        <v>0</v>
      </c>
      <c r="AJ58" s="295">
        <f>IF(AJ17&gt;ev_periode_jaar,0,Achtergrondparameters!AE28)</f>
        <v>0</v>
      </c>
      <c r="AK58" s="295">
        <f>IF(AK17&gt;ev_periode_jaar,0,Achtergrondparameters!AF28)</f>
        <v>0</v>
      </c>
    </row>
    <row r="59" spans="1:37" s="21" customFormat="1" ht="14.25" customHeight="1" x14ac:dyDescent="0.3">
      <c r="A59" s="169" t="s">
        <v>211</v>
      </c>
      <c r="B59" s="96"/>
      <c r="C59" s="21" t="s">
        <v>62</v>
      </c>
      <c r="H59" s="296">
        <f>IF(H17&gt;ev_periode_jaar,0,Achtergrondparameters!C34)</f>
        <v>4.0000000000000001E-3</v>
      </c>
      <c r="I59" s="296">
        <f>IF(I17&gt;ev_periode_jaar,0,Achtergrondparameters!D34)</f>
        <v>4.0800000000000003E-3</v>
      </c>
      <c r="J59" s="296">
        <f>IF(J17&gt;ev_periode_jaar,0,Achtergrondparameters!E34)</f>
        <v>4.1616000000000005E-3</v>
      </c>
      <c r="K59" s="296">
        <f>IF(K17&gt;ev_periode_jaar,0,Achtergrondparameters!F34)</f>
        <v>4.2448320000000005E-3</v>
      </c>
      <c r="L59" s="296">
        <f>IF(L17&gt;ev_periode_jaar,0,Achtergrondparameters!G34)</f>
        <v>4.3297286400000006E-3</v>
      </c>
      <c r="M59" s="296">
        <f>IF(M17&gt;ev_periode_jaar,0,Achtergrondparameters!H34)</f>
        <v>4.4163232128000005E-3</v>
      </c>
      <c r="N59" s="296">
        <f>IF(N17&gt;ev_periode_jaar,0,Achtergrondparameters!I34)</f>
        <v>4.504649677056001E-3</v>
      </c>
      <c r="O59" s="296">
        <f>IF(O17&gt;ev_periode_jaar,0,Achtergrondparameters!J34)</f>
        <v>4.594742670597121E-3</v>
      </c>
      <c r="P59" s="296">
        <f>IF(P17&gt;ev_periode_jaar,0,Achtergrondparameters!K34)</f>
        <v>4.6866375240090631E-3</v>
      </c>
      <c r="Q59" s="296">
        <f>IF(Q17&gt;ev_periode_jaar,0,Achtergrondparameters!L34)</f>
        <v>4.7803702744892446E-3</v>
      </c>
      <c r="R59" s="296">
        <f>IF(R17&gt;ev_periode_jaar,0,Achtergrondparameters!M34)</f>
        <v>4.8759776799790298E-3</v>
      </c>
      <c r="S59" s="296">
        <f>IF(S17&gt;ev_periode_jaar,0,Achtergrondparameters!N34)</f>
        <v>4.9734972335786108E-3</v>
      </c>
      <c r="T59" s="296">
        <f>IF(T17&gt;ev_periode_jaar,0,Achtergrondparameters!O34)</f>
        <v>5.0729671782501831E-3</v>
      </c>
      <c r="U59" s="296">
        <f>IF(U17&gt;ev_periode_jaar,0,Achtergrondparameters!P34)</f>
        <v>5.1744265218151867E-3</v>
      </c>
      <c r="V59" s="296">
        <f>IF(V17&gt;ev_periode_jaar,0,Achtergrondparameters!Q34)</f>
        <v>5.2779150522514907E-3</v>
      </c>
      <c r="W59" s="296">
        <f>IF(W17&gt;ev_periode_jaar,0,Achtergrondparameters!R34)</f>
        <v>0</v>
      </c>
      <c r="X59" s="296">
        <f>IF(X17&gt;ev_periode_jaar,0,Achtergrondparameters!S34)</f>
        <v>0</v>
      </c>
      <c r="Y59" s="296">
        <f>IF(Y17&gt;ev_periode_jaar,0,Achtergrondparameters!T34)</f>
        <v>0</v>
      </c>
      <c r="Z59" s="296">
        <f>IF(Z17&gt;ev_periode_jaar,0,Achtergrondparameters!U34)</f>
        <v>0</v>
      </c>
      <c r="AA59" s="296">
        <f>IF(AA17&gt;ev_periode_jaar,0,Achtergrondparameters!V34)</f>
        <v>0</v>
      </c>
      <c r="AB59" s="296">
        <f>IF(AB17&gt;ev_periode_jaar,0,Achtergrondparameters!W34)</f>
        <v>0</v>
      </c>
      <c r="AC59" s="296">
        <f>IF(AC17&gt;ev_periode_jaar,0,Achtergrondparameters!X34)</f>
        <v>0</v>
      </c>
      <c r="AD59" s="296">
        <f>IF(AD17&gt;ev_periode_jaar,0,Achtergrondparameters!Y34)</f>
        <v>0</v>
      </c>
      <c r="AE59" s="296">
        <f>IF(AE17&gt;ev_periode_jaar,0,Achtergrondparameters!Z34)</f>
        <v>0</v>
      </c>
      <c r="AF59" s="296">
        <f>IF(AF17&gt;ev_periode_jaar,0,Achtergrondparameters!AA34)</f>
        <v>0</v>
      </c>
      <c r="AG59" s="296">
        <f>IF(AG17&gt;ev_periode_jaar,0,Achtergrondparameters!AB34)</f>
        <v>0</v>
      </c>
      <c r="AH59" s="296">
        <f>IF(AH17&gt;ev_periode_jaar,0,Achtergrondparameters!AC34)</f>
        <v>0</v>
      </c>
      <c r="AI59" s="296">
        <f>IF(AI17&gt;ev_periode_jaar,0,Achtergrondparameters!AD34)</f>
        <v>0</v>
      </c>
      <c r="AJ59" s="296">
        <f>IF(AJ17&gt;ev_periode_jaar,0,Achtergrondparameters!AE34)</f>
        <v>0</v>
      </c>
      <c r="AK59" s="296">
        <f>IF(AK17&gt;ev_periode_jaar,0,Achtergrondparameters!AF34)</f>
        <v>0</v>
      </c>
    </row>
    <row r="60" spans="1:37" s="21" customFormat="1" ht="14.25" customHeight="1" x14ac:dyDescent="0.3">
      <c r="A60" s="171" t="s">
        <v>212</v>
      </c>
      <c r="B60" s="30"/>
      <c r="C60" s="21" t="s">
        <v>62</v>
      </c>
      <c r="H60" s="30">
        <f t="shared" ref="H60:AK60" si="15">IF(H17&gt;ev_periode_jaar,0,SUM(H58:H59))</f>
        <v>0.10400000000000001</v>
      </c>
      <c r="I60" s="30">
        <f t="shared" si="15"/>
        <v>0.10491623346459537</v>
      </c>
      <c r="J60" s="30">
        <f t="shared" si="15"/>
        <v>0.10583406692919074</v>
      </c>
      <c r="K60" s="30">
        <f t="shared" si="15"/>
        <v>0.1067535323937861</v>
      </c>
      <c r="L60" s="30">
        <f t="shared" si="15"/>
        <v>0.10767466249838147</v>
      </c>
      <c r="M60" s="30">
        <f t="shared" si="15"/>
        <v>0.10859749053577683</v>
      </c>
      <c r="N60" s="30">
        <f t="shared" si="15"/>
        <v>0.10978342241801065</v>
      </c>
      <c r="O60" s="30">
        <f t="shared" si="15"/>
        <v>0.11097112082952956</v>
      </c>
      <c r="P60" s="30">
        <f t="shared" si="15"/>
        <v>0.11216062110091933</v>
      </c>
      <c r="Q60" s="30">
        <f t="shared" si="15"/>
        <v>0.11335195926937731</v>
      </c>
      <c r="R60" s="30">
        <f t="shared" si="15"/>
        <v>0.11454517209284491</v>
      </c>
      <c r="S60" s="30">
        <f t="shared" si="15"/>
        <v>0.11364979218358703</v>
      </c>
      <c r="T60" s="30">
        <f t="shared" si="15"/>
        <v>0.11275636266540115</v>
      </c>
      <c r="U60" s="30">
        <f t="shared" si="15"/>
        <v>0.11186492254610869</v>
      </c>
      <c r="V60" s="30">
        <f t="shared" si="15"/>
        <v>0.11097551161368754</v>
      </c>
      <c r="W60" s="30">
        <f t="shared" si="15"/>
        <v>0</v>
      </c>
      <c r="X60" s="30">
        <f t="shared" si="15"/>
        <v>0</v>
      </c>
      <c r="Y60" s="30">
        <f t="shared" si="15"/>
        <v>0</v>
      </c>
      <c r="Z60" s="30">
        <f t="shared" si="15"/>
        <v>0</v>
      </c>
      <c r="AA60" s="30">
        <f t="shared" si="15"/>
        <v>0</v>
      </c>
      <c r="AB60" s="30">
        <f t="shared" si="15"/>
        <v>0</v>
      </c>
      <c r="AC60" s="30">
        <f t="shared" si="15"/>
        <v>0</v>
      </c>
      <c r="AD60" s="30">
        <f t="shared" si="15"/>
        <v>0</v>
      </c>
      <c r="AE60" s="30">
        <f t="shared" si="15"/>
        <v>0</v>
      </c>
      <c r="AF60" s="30">
        <f t="shared" si="15"/>
        <v>0</v>
      </c>
      <c r="AG60" s="30">
        <f t="shared" si="15"/>
        <v>0</v>
      </c>
      <c r="AH60" s="30">
        <f t="shared" si="15"/>
        <v>0</v>
      </c>
      <c r="AI60" s="30">
        <f t="shared" si="15"/>
        <v>0</v>
      </c>
      <c r="AJ60" s="30">
        <f t="shared" si="15"/>
        <v>0</v>
      </c>
      <c r="AK60" s="30">
        <f t="shared" si="15"/>
        <v>0</v>
      </c>
    </row>
    <row r="61" spans="1:37" s="21" customFormat="1" ht="14.25" customHeight="1" x14ac:dyDescent="0.3">
      <c r="A61" s="98" t="s">
        <v>213</v>
      </c>
      <c r="B61" s="99"/>
      <c r="C61" s="21" t="s">
        <v>64</v>
      </c>
      <c r="H61" s="100">
        <f>IF(H17&gt;ev_periode_jaar,0,IFERROR(H60*H28,""))</f>
        <v>832000.00000000012</v>
      </c>
      <c r="I61" s="100">
        <f t="shared" ref="I61:AK61" si="16">IF(I17&gt;ev_periode_jaar,0,IFERROR(I60*I28,""))</f>
        <v>839329.86771676294</v>
      </c>
      <c r="J61" s="100">
        <f t="shared" si="16"/>
        <v>846672.53543352592</v>
      </c>
      <c r="K61" s="100">
        <f t="shared" si="16"/>
        <v>854028.25915028877</v>
      </c>
      <c r="L61" s="100">
        <f t="shared" si="16"/>
        <v>861397.29998705175</v>
      </c>
      <c r="M61" s="100">
        <f t="shared" si="16"/>
        <v>868779.92428621463</v>
      </c>
      <c r="N61" s="100">
        <f t="shared" si="16"/>
        <v>878267.37934408512</v>
      </c>
      <c r="O61" s="100">
        <f t="shared" si="16"/>
        <v>887768.96663623652</v>
      </c>
      <c r="P61" s="100">
        <f t="shared" si="16"/>
        <v>897284.96880735469</v>
      </c>
      <c r="Q61" s="100">
        <f t="shared" si="16"/>
        <v>906815.67415501853</v>
      </c>
      <c r="R61" s="132">
        <f t="shared" si="16"/>
        <v>916361.37674275925</v>
      </c>
      <c r="S61" s="132">
        <f t="shared" si="16"/>
        <v>909198.33746869629</v>
      </c>
      <c r="T61" s="132">
        <f t="shared" si="16"/>
        <v>902050.90132320917</v>
      </c>
      <c r="U61" s="132">
        <f t="shared" si="16"/>
        <v>894919.38036886952</v>
      </c>
      <c r="V61" s="132">
        <f t="shared" si="16"/>
        <v>887804.09290950035</v>
      </c>
      <c r="W61" s="132">
        <f t="shared" si="16"/>
        <v>0</v>
      </c>
      <c r="X61" s="132">
        <f t="shared" si="16"/>
        <v>0</v>
      </c>
      <c r="Y61" s="132">
        <f t="shared" si="16"/>
        <v>0</v>
      </c>
      <c r="Z61" s="132">
        <f t="shared" si="16"/>
        <v>0</v>
      </c>
      <c r="AA61" s="132">
        <f t="shared" si="16"/>
        <v>0</v>
      </c>
      <c r="AB61" s="132">
        <f t="shared" si="16"/>
        <v>0</v>
      </c>
      <c r="AC61" s="132">
        <f t="shared" si="16"/>
        <v>0</v>
      </c>
      <c r="AD61" s="132">
        <f t="shared" si="16"/>
        <v>0</v>
      </c>
      <c r="AE61" s="132">
        <f t="shared" si="16"/>
        <v>0</v>
      </c>
      <c r="AF61" s="132">
        <f t="shared" si="16"/>
        <v>0</v>
      </c>
      <c r="AG61" s="132">
        <f t="shared" si="16"/>
        <v>0</v>
      </c>
      <c r="AH61" s="132">
        <f t="shared" si="16"/>
        <v>0</v>
      </c>
      <c r="AI61" s="132">
        <f t="shared" si="16"/>
        <v>0</v>
      </c>
      <c r="AJ61" s="132">
        <f t="shared" si="16"/>
        <v>0</v>
      </c>
      <c r="AK61" s="132">
        <f t="shared" si="16"/>
        <v>0</v>
      </c>
    </row>
    <row r="62" spans="1:37" s="21" customFormat="1" ht="14.25" customHeight="1" x14ac:dyDescent="0.3">
      <c r="A62" s="97"/>
      <c r="B62" s="99"/>
      <c r="H62" s="100"/>
      <c r="I62" s="100"/>
      <c r="J62" s="100"/>
      <c r="K62" s="100"/>
      <c r="L62" s="100"/>
      <c r="M62" s="100"/>
      <c r="N62" s="100"/>
      <c r="O62" s="100"/>
      <c r="P62" s="100"/>
      <c r="Q62" s="100"/>
      <c r="R62" s="132"/>
      <c r="S62" s="132"/>
      <c r="T62" s="132"/>
      <c r="U62" s="132"/>
      <c r="V62" s="132"/>
      <c r="W62" s="132"/>
      <c r="X62" s="132"/>
      <c r="Y62" s="132"/>
      <c r="Z62" s="132"/>
      <c r="AA62" s="132"/>
      <c r="AB62" s="132"/>
      <c r="AC62" s="132"/>
      <c r="AD62" s="132"/>
      <c r="AE62" s="132"/>
      <c r="AF62" s="132"/>
      <c r="AG62" s="132"/>
      <c r="AH62" s="132"/>
      <c r="AI62" s="132"/>
      <c r="AJ62" s="132"/>
      <c r="AK62" s="132"/>
    </row>
    <row r="63" spans="1:37" s="21" customFormat="1" ht="14.1" customHeight="1" x14ac:dyDescent="0.3">
      <c r="A63" s="240" t="s">
        <v>214</v>
      </c>
      <c r="B63" s="99"/>
      <c r="H63" s="100"/>
      <c r="I63" s="100"/>
      <c r="J63" s="100"/>
      <c r="K63" s="100"/>
      <c r="L63" s="100"/>
      <c r="M63" s="100"/>
      <c r="N63" s="100"/>
      <c r="O63" s="100"/>
      <c r="P63" s="100"/>
      <c r="Q63" s="100"/>
      <c r="R63" s="133"/>
      <c r="S63" s="133"/>
      <c r="T63" s="133"/>
      <c r="U63" s="133"/>
      <c r="V63" s="133"/>
      <c r="W63" s="133"/>
      <c r="X63" s="133"/>
      <c r="Y63" s="133"/>
      <c r="Z63" s="133"/>
      <c r="AA63" s="133"/>
      <c r="AB63" s="133"/>
      <c r="AC63" s="133"/>
      <c r="AD63" s="133"/>
      <c r="AE63" s="133"/>
      <c r="AF63" s="133"/>
      <c r="AG63" s="133"/>
      <c r="AH63" s="133"/>
      <c r="AI63" s="133"/>
      <c r="AJ63" s="133"/>
      <c r="AK63" s="133"/>
    </row>
    <row r="64" spans="1:37" s="177" customFormat="1" ht="14.25" customHeight="1" x14ac:dyDescent="0.3">
      <c r="A64" s="187" t="s">
        <v>215</v>
      </c>
      <c r="B64" s="188"/>
      <c r="C64" s="177" t="s">
        <v>216</v>
      </c>
      <c r="H64" s="189">
        <f>IF(H17&gt;ev_periode_jaar,0,Achtergrondparameters!C44)</f>
        <v>0.12</v>
      </c>
      <c r="I64" s="189">
        <f>IF(I17&gt;ev_periode_jaar,0,Achtergrondparameters!D44)</f>
        <v>0.11673252400216756</v>
      </c>
      <c r="J64" s="189">
        <f>IF(J17&gt;ev_periode_jaar,0,Achtergrondparameters!E44)</f>
        <v>0.11346504800433513</v>
      </c>
      <c r="K64" s="189">
        <f>IF(K17&gt;ev_periode_jaar,0,Achtergrondparameters!F44)</f>
        <v>0.11019757200650271</v>
      </c>
      <c r="L64" s="189">
        <f>IF(L17&gt;ev_periode_jaar,0,Achtergrondparameters!G44)</f>
        <v>0.10693009600867028</v>
      </c>
      <c r="M64" s="189">
        <f>IF(M17&gt;ev_periode_jaar,0,Achtergrondparameters!H44)</f>
        <v>0.10366262001083784</v>
      </c>
      <c r="N64" s="189">
        <f>IF(N17&gt;ev_periode_jaar,0,Achtergrondparameters!I44)</f>
        <v>0.10405876070757882</v>
      </c>
      <c r="O64" s="189">
        <f>IF(O17&gt;ev_periode_jaar,0,Achtergrondparameters!J44)</f>
        <v>0.10445490140431979</v>
      </c>
      <c r="P64" s="189">
        <f>IF(P17&gt;ev_periode_jaar,0,Achtergrondparameters!K44)</f>
        <v>0.10485104210106078</v>
      </c>
      <c r="Q64" s="189">
        <f>IF(Q17&gt;ev_periode_jaar,0,Achtergrondparameters!L44)</f>
        <v>0.10524718279780175</v>
      </c>
      <c r="R64" s="189">
        <f>IF(R17&gt;ev_periode_jaar,0,Achtergrondparameters!M44)</f>
        <v>0.10564332349454272</v>
      </c>
      <c r="S64" s="189">
        <f>IF(S17&gt;ev_periode_jaar,0,Achtergrondparameters!N44)</f>
        <v>0.10712040786670408</v>
      </c>
      <c r="T64" s="189">
        <f>IF(T17&gt;ev_periode_jaar,0,Achtergrondparameters!O44)</f>
        <v>0.10859749223886543</v>
      </c>
      <c r="U64" s="189">
        <f>IF(U17&gt;ev_periode_jaar,0,Achtergrondparameters!P44)</f>
        <v>0.11007457661102679</v>
      </c>
      <c r="V64" s="189">
        <f>IF(V17&gt;ev_periode_jaar,0,Achtergrondparameters!Q44)</f>
        <v>0.11155166098318814</v>
      </c>
      <c r="W64" s="189">
        <f>IF(W17&gt;ev_periode_jaar,0,Achtergrondparameters!R44)</f>
        <v>0</v>
      </c>
      <c r="X64" s="189">
        <f>IF(X17&gt;ev_periode_jaar,0,Achtergrondparameters!S44)</f>
        <v>0</v>
      </c>
      <c r="Y64" s="189">
        <f>IF(Y17&gt;ev_periode_jaar,0,Achtergrondparameters!T44)</f>
        <v>0</v>
      </c>
      <c r="Z64" s="189">
        <f>IF(Z17&gt;ev_periode_jaar,0,Achtergrondparameters!U44)</f>
        <v>0</v>
      </c>
      <c r="AA64" s="189">
        <f>IF(AA17&gt;ev_periode_jaar,0,Achtergrondparameters!V44)</f>
        <v>0</v>
      </c>
      <c r="AB64" s="189">
        <f>IF(AB17&gt;ev_periode_jaar,0,Achtergrondparameters!W44)</f>
        <v>0</v>
      </c>
      <c r="AC64" s="189">
        <f>IF(AC17&gt;ev_periode_jaar,0,Achtergrondparameters!X44)</f>
        <v>0</v>
      </c>
      <c r="AD64" s="189">
        <f>IF(AD17&gt;ev_periode_jaar,0,Achtergrondparameters!Y44)</f>
        <v>0</v>
      </c>
      <c r="AE64" s="189">
        <f>IF(AE17&gt;ev_periode_jaar,0,Achtergrondparameters!Z44)</f>
        <v>0</v>
      </c>
      <c r="AF64" s="189">
        <f>IF(AF17&gt;ev_periode_jaar,0,Achtergrondparameters!AA44)</f>
        <v>0</v>
      </c>
      <c r="AG64" s="189">
        <f>IF(AG17&gt;ev_periode_jaar,0,Achtergrondparameters!AB44)</f>
        <v>0</v>
      </c>
      <c r="AH64" s="189">
        <f>IF(AH17&gt;ev_periode_jaar,0,Achtergrondparameters!AC44)</f>
        <v>0</v>
      </c>
      <c r="AI64" s="189">
        <f>IF(AI17&gt;ev_periode_jaar,0,Achtergrondparameters!AD44)</f>
        <v>0</v>
      </c>
      <c r="AJ64" s="189">
        <f>IF(AJ17&gt;ev_periode_jaar,0,Achtergrondparameters!AE44)</f>
        <v>0</v>
      </c>
      <c r="AK64" s="189">
        <f>IF(AK17&gt;ev_periode_jaar,0,Achtergrondparameters!AF44)</f>
        <v>0</v>
      </c>
    </row>
    <row r="65" spans="1:37" s="177" customFormat="1" ht="14.25" customHeight="1" x14ac:dyDescent="0.3">
      <c r="A65" s="187" t="s">
        <v>211</v>
      </c>
      <c r="B65" s="184"/>
      <c r="C65" s="177" t="s">
        <v>216</v>
      </c>
      <c r="H65" s="191">
        <f>IF(H17&gt;ev_periode_jaar,0,Achtergrondparameters!C50)</f>
        <v>7.7200000000000003E-3</v>
      </c>
      <c r="I65" s="191">
        <f>IF(I17&gt;ev_periode_jaar,0,Achtergrondparameters!D50)</f>
        <v>7.8744000000000001E-3</v>
      </c>
      <c r="J65" s="191">
        <f>IF(J17&gt;ev_periode_jaar,0,Achtergrondparameters!E50)</f>
        <v>8.0318880000000009E-3</v>
      </c>
      <c r="K65" s="191">
        <f>IF(K17&gt;ev_periode_jaar,0,Achtergrondparameters!F50)</f>
        <v>8.1925257600000013E-3</v>
      </c>
      <c r="L65" s="191">
        <f>IF(L17&gt;ev_periode_jaar,0,Achtergrondparameters!G50)</f>
        <v>8.3563762752000021E-3</v>
      </c>
      <c r="M65" s="191">
        <f>IF(M17&gt;ev_periode_jaar,0,Achtergrondparameters!H50)</f>
        <v>8.5235038007040031E-3</v>
      </c>
      <c r="N65" s="191">
        <f>IF(N17&gt;ev_periode_jaar,0,Achtergrondparameters!I50)</f>
        <v>8.6939738767180825E-3</v>
      </c>
      <c r="O65" s="191">
        <f>IF(O17&gt;ev_periode_jaar,0,Achtergrondparameters!J50)</f>
        <v>8.8678533542524435E-3</v>
      </c>
      <c r="P65" s="191">
        <f>IF(P17&gt;ev_periode_jaar,0,Achtergrondparameters!K50)</f>
        <v>9.0452104213374924E-3</v>
      </c>
      <c r="Q65" s="191">
        <f>IF(Q17&gt;ev_periode_jaar,0,Achtergrondparameters!L50)</f>
        <v>9.226114629764243E-3</v>
      </c>
      <c r="R65" s="191">
        <f>IF(R17&gt;ev_periode_jaar,0,Achtergrondparameters!M50)</f>
        <v>9.4106369223595273E-3</v>
      </c>
      <c r="S65" s="191">
        <f>IF(S17&gt;ev_periode_jaar,0,Achtergrondparameters!N50)</f>
        <v>9.5988496608067179E-3</v>
      </c>
      <c r="T65" s="191">
        <f>IF(T17&gt;ev_periode_jaar,0,Achtergrondparameters!O50)</f>
        <v>9.7908266540228522E-3</v>
      </c>
      <c r="U65" s="191">
        <f>IF(U17&gt;ev_periode_jaar,0,Achtergrondparameters!P50)</f>
        <v>9.9866431871033102E-3</v>
      </c>
      <c r="V65" s="191">
        <f>IF(V17&gt;ev_periode_jaar,0,Achtergrondparameters!Q50)</f>
        <v>1.0186376050845377E-2</v>
      </c>
      <c r="W65" s="191">
        <f>IF(W17&gt;ev_periode_jaar,0,Achtergrondparameters!R50)</f>
        <v>0</v>
      </c>
      <c r="X65" s="191">
        <f>IF(X17&gt;ev_periode_jaar,0,Achtergrondparameters!S50)</f>
        <v>0</v>
      </c>
      <c r="Y65" s="191">
        <f>IF(Y17&gt;ev_periode_jaar,0,Achtergrondparameters!T50)</f>
        <v>0</v>
      </c>
      <c r="Z65" s="191">
        <f>IF(Z17&gt;ev_periode_jaar,0,Achtergrondparameters!U50)</f>
        <v>0</v>
      </c>
      <c r="AA65" s="191">
        <f>IF(AA17&gt;ev_periode_jaar,0,Achtergrondparameters!V50)</f>
        <v>0</v>
      </c>
      <c r="AB65" s="191">
        <f>IF(AB17&gt;ev_periode_jaar,0,Achtergrondparameters!W50)</f>
        <v>0</v>
      </c>
      <c r="AC65" s="191">
        <f>IF(AC17&gt;ev_periode_jaar,0,Achtergrondparameters!X50)</f>
        <v>0</v>
      </c>
      <c r="AD65" s="191">
        <f>IF(AD17&gt;ev_periode_jaar,0,Achtergrondparameters!Y50)</f>
        <v>0</v>
      </c>
      <c r="AE65" s="191">
        <f>IF(AE17&gt;ev_periode_jaar,0,Achtergrondparameters!Z50)</f>
        <v>0</v>
      </c>
      <c r="AF65" s="191">
        <f>IF(AF17&gt;ev_periode_jaar,0,Achtergrondparameters!AA50)</f>
        <v>0</v>
      </c>
      <c r="AG65" s="191">
        <f>IF(AG17&gt;ev_periode_jaar,0,Achtergrondparameters!AB50)</f>
        <v>0</v>
      </c>
      <c r="AH65" s="191">
        <f>IF(AH17&gt;ev_periode_jaar,0,Achtergrondparameters!AC50)</f>
        <v>0</v>
      </c>
      <c r="AI65" s="191">
        <f>IF(AI17&gt;ev_periode_jaar,0,Achtergrondparameters!AD50)</f>
        <v>0</v>
      </c>
      <c r="AJ65" s="191">
        <f>IF(AJ17&gt;ev_periode_jaar,0,Achtergrondparameters!AE50)</f>
        <v>0</v>
      </c>
      <c r="AK65" s="191">
        <f>IF(AK17&gt;ev_periode_jaar,0,Achtergrondparameters!AF50)</f>
        <v>0</v>
      </c>
    </row>
    <row r="66" spans="1:37" s="177" customFormat="1" ht="14.25" customHeight="1" x14ac:dyDescent="0.3">
      <c r="A66" s="187" t="s">
        <v>212</v>
      </c>
      <c r="B66" s="189"/>
      <c r="C66" s="177" t="s">
        <v>216</v>
      </c>
      <c r="E66" s="177" t="s">
        <v>217</v>
      </c>
      <c r="H66" s="189">
        <f t="shared" ref="H66:AK66" si="17">IF(H17&gt;ev_periode_jaar,0,SUM(H64:H65))</f>
        <v>0.12772</v>
      </c>
      <c r="I66" s="189">
        <f t="shared" si="17"/>
        <v>0.12460692400216757</v>
      </c>
      <c r="J66" s="189">
        <f t="shared" si="17"/>
        <v>0.12149693600433513</v>
      </c>
      <c r="K66" s="189">
        <f t="shared" si="17"/>
        <v>0.11839009776650271</v>
      </c>
      <c r="L66" s="189">
        <f t="shared" si="17"/>
        <v>0.11528647228387028</v>
      </c>
      <c r="M66" s="189">
        <f t="shared" si="17"/>
        <v>0.11218612381154185</v>
      </c>
      <c r="N66" s="189">
        <f t="shared" si="17"/>
        <v>0.1127527345842969</v>
      </c>
      <c r="O66" s="189">
        <f t="shared" si="17"/>
        <v>0.11332275475857223</v>
      </c>
      <c r="P66" s="189">
        <f t="shared" si="17"/>
        <v>0.11389625252239827</v>
      </c>
      <c r="Q66" s="189">
        <f t="shared" si="17"/>
        <v>0.114473297427566</v>
      </c>
      <c r="R66" s="189">
        <f t="shared" si="17"/>
        <v>0.11505396041690225</v>
      </c>
      <c r="S66" s="189">
        <f t="shared" si="17"/>
        <v>0.11671925752751081</v>
      </c>
      <c r="T66" s="189">
        <f t="shared" si="17"/>
        <v>0.11838831889288828</v>
      </c>
      <c r="U66" s="189">
        <f t="shared" si="17"/>
        <v>0.1200612197981301</v>
      </c>
      <c r="V66" s="189">
        <f t="shared" si="17"/>
        <v>0.12173803703403352</v>
      </c>
      <c r="W66" s="189">
        <f t="shared" si="17"/>
        <v>0</v>
      </c>
      <c r="X66" s="189">
        <f t="shared" si="17"/>
        <v>0</v>
      </c>
      <c r="Y66" s="189">
        <f t="shared" si="17"/>
        <v>0</v>
      </c>
      <c r="Z66" s="189">
        <f t="shared" si="17"/>
        <v>0</v>
      </c>
      <c r="AA66" s="189">
        <f t="shared" si="17"/>
        <v>0</v>
      </c>
      <c r="AB66" s="189">
        <f t="shared" si="17"/>
        <v>0</v>
      </c>
      <c r="AC66" s="189">
        <f t="shared" si="17"/>
        <v>0</v>
      </c>
      <c r="AD66" s="189">
        <f t="shared" si="17"/>
        <v>0</v>
      </c>
      <c r="AE66" s="189">
        <f t="shared" si="17"/>
        <v>0</v>
      </c>
      <c r="AF66" s="189">
        <f t="shared" si="17"/>
        <v>0</v>
      </c>
      <c r="AG66" s="189">
        <f t="shared" si="17"/>
        <v>0</v>
      </c>
      <c r="AH66" s="189">
        <f t="shared" si="17"/>
        <v>0</v>
      </c>
      <c r="AI66" s="189">
        <f t="shared" si="17"/>
        <v>0</v>
      </c>
      <c r="AJ66" s="189">
        <f t="shared" si="17"/>
        <v>0</v>
      </c>
      <c r="AK66" s="189">
        <f t="shared" si="17"/>
        <v>0</v>
      </c>
    </row>
    <row r="67" spans="1:37" s="177" customFormat="1" ht="14.25" customHeight="1" x14ac:dyDescent="0.3">
      <c r="A67" s="192" t="s">
        <v>213</v>
      </c>
      <c r="B67" s="176"/>
      <c r="C67" s="177" t="s">
        <v>64</v>
      </c>
      <c r="H67" s="188">
        <f t="shared" ref="H67:AK67" si="18">IF(H17&gt;ev_periode_jaar,0,IFERROR(H66*H29,""))</f>
        <v>1021760</v>
      </c>
      <c r="I67" s="188">
        <f t="shared" si="18"/>
        <v>996855.39201734052</v>
      </c>
      <c r="J67" s="188">
        <f t="shared" si="18"/>
        <v>971975.48803468107</v>
      </c>
      <c r="K67" s="188">
        <f t="shared" si="18"/>
        <v>947120.78213202162</v>
      </c>
      <c r="L67" s="188">
        <f t="shared" si="18"/>
        <v>922291.77827096218</v>
      </c>
      <c r="M67" s="188">
        <f t="shared" si="18"/>
        <v>897488.99049233482</v>
      </c>
      <c r="N67" s="188">
        <f t="shared" si="18"/>
        <v>902021.87667437515</v>
      </c>
      <c r="O67" s="188">
        <f t="shared" si="18"/>
        <v>906582.03806857788</v>
      </c>
      <c r="P67" s="188">
        <f t="shared" si="18"/>
        <v>911170.02017918613</v>
      </c>
      <c r="Q67" s="188">
        <f t="shared" si="18"/>
        <v>915786.37942052796</v>
      </c>
      <c r="R67" s="193">
        <f t="shared" si="18"/>
        <v>920431.683335218</v>
      </c>
      <c r="S67" s="193">
        <f t="shared" si="18"/>
        <v>933754.06022008648</v>
      </c>
      <c r="T67" s="193">
        <f t="shared" si="18"/>
        <v>947106.55114310631</v>
      </c>
      <c r="U67" s="193">
        <f t="shared" si="18"/>
        <v>960489.7583850408</v>
      </c>
      <c r="V67" s="193">
        <f t="shared" si="18"/>
        <v>973904.29627226817</v>
      </c>
      <c r="W67" s="193">
        <f t="shared" si="18"/>
        <v>0</v>
      </c>
      <c r="X67" s="193">
        <f t="shared" si="18"/>
        <v>0</v>
      </c>
      <c r="Y67" s="193">
        <f t="shared" si="18"/>
        <v>0</v>
      </c>
      <c r="Z67" s="193">
        <f t="shared" si="18"/>
        <v>0</v>
      </c>
      <c r="AA67" s="193">
        <f t="shared" si="18"/>
        <v>0</v>
      </c>
      <c r="AB67" s="193">
        <f t="shared" si="18"/>
        <v>0</v>
      </c>
      <c r="AC67" s="193">
        <f t="shared" si="18"/>
        <v>0</v>
      </c>
      <c r="AD67" s="193">
        <f t="shared" si="18"/>
        <v>0</v>
      </c>
      <c r="AE67" s="193">
        <f t="shared" si="18"/>
        <v>0</v>
      </c>
      <c r="AF67" s="193">
        <f t="shared" si="18"/>
        <v>0</v>
      </c>
      <c r="AG67" s="193">
        <f t="shared" si="18"/>
        <v>0</v>
      </c>
      <c r="AH67" s="193">
        <f t="shared" si="18"/>
        <v>0</v>
      </c>
      <c r="AI67" s="193">
        <f t="shared" si="18"/>
        <v>0</v>
      </c>
      <c r="AJ67" s="193">
        <f t="shared" si="18"/>
        <v>0</v>
      </c>
      <c r="AK67" s="193">
        <f t="shared" si="18"/>
        <v>0</v>
      </c>
    </row>
    <row r="68" spans="1:37" s="21" customFormat="1" ht="14.25" customHeight="1" x14ac:dyDescent="0.3">
      <c r="A68" s="190"/>
      <c r="B68" s="99"/>
      <c r="H68" s="100"/>
      <c r="I68" s="100"/>
      <c r="J68" s="100"/>
      <c r="K68" s="100"/>
      <c r="L68" s="100"/>
      <c r="M68" s="100"/>
      <c r="N68" s="100"/>
      <c r="O68" s="100"/>
      <c r="P68" s="100"/>
      <c r="Q68" s="100"/>
      <c r="R68" s="133"/>
      <c r="S68" s="133"/>
      <c r="T68" s="133"/>
      <c r="U68" s="133"/>
      <c r="V68" s="133"/>
      <c r="W68" s="133"/>
      <c r="X68" s="133"/>
      <c r="Y68" s="133"/>
      <c r="Z68" s="133"/>
      <c r="AA68" s="133"/>
      <c r="AB68" s="133"/>
      <c r="AC68" s="133"/>
      <c r="AD68" s="133"/>
      <c r="AE68" s="133"/>
      <c r="AF68" s="133"/>
      <c r="AG68" s="133"/>
      <c r="AH68" s="133"/>
      <c r="AI68" s="133"/>
      <c r="AJ68" s="133"/>
      <c r="AK68" s="133"/>
    </row>
    <row r="69" spans="1:37" s="21" customFormat="1" ht="14.25" customHeight="1" x14ac:dyDescent="0.3">
      <c r="A69" s="241" t="s">
        <v>208</v>
      </c>
      <c r="B69" s="99"/>
      <c r="H69" s="100"/>
      <c r="I69" s="100"/>
      <c r="J69" s="100"/>
      <c r="K69" s="100"/>
      <c r="L69" s="100"/>
      <c r="M69" s="100"/>
      <c r="N69" s="100"/>
      <c r="O69" s="100"/>
      <c r="P69" s="100"/>
      <c r="Q69" s="100"/>
      <c r="R69" s="133"/>
      <c r="S69" s="133"/>
      <c r="T69" s="133"/>
      <c r="U69" s="133"/>
      <c r="V69" s="133"/>
      <c r="W69" s="133"/>
      <c r="X69" s="133"/>
      <c r="Y69" s="133"/>
      <c r="Z69" s="133"/>
      <c r="AA69" s="133"/>
      <c r="AB69" s="133"/>
      <c r="AC69" s="133"/>
      <c r="AD69" s="133"/>
      <c r="AE69" s="133"/>
      <c r="AF69" s="133"/>
      <c r="AG69" s="133"/>
      <c r="AH69" s="133"/>
      <c r="AI69" s="133"/>
      <c r="AJ69" s="133"/>
      <c r="AK69" s="133"/>
    </row>
    <row r="70" spans="1:37" s="177" customFormat="1" ht="14.25" customHeight="1" x14ac:dyDescent="0.3">
      <c r="A70" s="187" t="s">
        <v>215</v>
      </c>
      <c r="B70" s="176"/>
      <c r="C70" s="177" t="s">
        <v>216</v>
      </c>
      <c r="H70" s="185">
        <f>IF(H17&gt;ev_periode_jaar,0,Achtergrondparameters!C57)</f>
        <v>8.2572076721086615E-2</v>
      </c>
      <c r="I70" s="185">
        <f>IF(I17&gt;ev_periode_jaar,0,Achtergrondparameters!D57)</f>
        <v>8.3705513168544868E-2</v>
      </c>
      <c r="J70" s="185">
        <f>IF(J17&gt;ev_periode_jaar,0,Achtergrondparameters!E57)</f>
        <v>8.4838949616003134E-2</v>
      </c>
      <c r="K70" s="185">
        <f>IF(K17&gt;ev_periode_jaar,0,Achtergrondparameters!F57)</f>
        <v>8.5972386063461387E-2</v>
      </c>
      <c r="L70" s="185">
        <f>IF(L17&gt;ev_periode_jaar,0,Achtergrondparameters!G57)</f>
        <v>8.7105822510919653E-2</v>
      </c>
      <c r="M70" s="185">
        <f>IF(M17&gt;ev_periode_jaar,0,Achtergrondparameters!H57)</f>
        <v>8.8239258958377906E-2</v>
      </c>
      <c r="N70" s="185">
        <f>IF(N17&gt;ev_periode_jaar,0,Achtergrondparameters!I57)</f>
        <v>8.6800199100193209E-2</v>
      </c>
      <c r="O70" s="185">
        <f>IF(O17&gt;ev_periode_jaar,0,Achtergrondparameters!J57)</f>
        <v>8.5361139242008513E-2</v>
      </c>
      <c r="P70" s="185">
        <f>IF(P17&gt;ev_periode_jaar,0,Achtergrondparameters!K57)</f>
        <v>8.3922079383823817E-2</v>
      </c>
      <c r="Q70" s="185">
        <f>IF(Q17&gt;ev_periode_jaar,0,Achtergrondparameters!L57)</f>
        <v>8.248301952563912E-2</v>
      </c>
      <c r="R70" s="185">
        <f>IF(R17&gt;ev_periode_jaar,0,Achtergrondparameters!M57)</f>
        <v>8.1043959667454424E-2</v>
      </c>
      <c r="S70" s="185">
        <f>IF(S17&gt;ev_periode_jaar,0,Achtergrondparameters!N57)</f>
        <v>8.0762561384206691E-2</v>
      </c>
      <c r="T70" s="185">
        <f>IF(T17&gt;ev_periode_jaar,0,Achtergrondparameters!O57)</f>
        <v>8.0481163100958958E-2</v>
      </c>
      <c r="U70" s="185">
        <f>IF(U17&gt;ev_periode_jaar,0,Achtergrondparameters!P57)</f>
        <v>8.0199764817711239E-2</v>
      </c>
      <c r="V70" s="185">
        <f>IF(V17&gt;ev_periode_jaar,0,Achtergrondparameters!Q57)</f>
        <v>7.9918366534463506E-2</v>
      </c>
      <c r="W70" s="185">
        <f>IF(W17&gt;ev_periode_jaar,0,Achtergrondparameters!R57)</f>
        <v>0</v>
      </c>
      <c r="X70" s="185">
        <f>IF(X17&gt;ev_periode_jaar,0,Achtergrondparameters!S57)</f>
        <v>0</v>
      </c>
      <c r="Y70" s="185">
        <f>IF(Y17&gt;ev_periode_jaar,0,Achtergrondparameters!T57)</f>
        <v>0</v>
      </c>
      <c r="Z70" s="185">
        <f>IF(Z17&gt;ev_periode_jaar,0,Achtergrondparameters!U57)</f>
        <v>0</v>
      </c>
      <c r="AA70" s="185">
        <f>IF(AA17&gt;ev_periode_jaar,0,Achtergrondparameters!V57)</f>
        <v>0</v>
      </c>
      <c r="AB70" s="185">
        <f>IF(AB17&gt;ev_periode_jaar,0,Achtergrondparameters!W57)</f>
        <v>0</v>
      </c>
      <c r="AC70" s="185">
        <f>IF(AC17&gt;ev_periode_jaar,0,Achtergrondparameters!X57)</f>
        <v>0</v>
      </c>
      <c r="AD70" s="185">
        <f>IF(AD17&gt;ev_periode_jaar,0,Achtergrondparameters!Y57)</f>
        <v>0</v>
      </c>
      <c r="AE70" s="185">
        <f>IF(AE17&gt;ev_periode_jaar,0,Achtergrondparameters!Z57)</f>
        <v>0</v>
      </c>
      <c r="AF70" s="185">
        <f>IF(AF17&gt;ev_periode_jaar,0,Achtergrondparameters!AA57)</f>
        <v>0</v>
      </c>
      <c r="AG70" s="185">
        <f>IF(AG17&gt;ev_periode_jaar,0,Achtergrondparameters!AB57)</f>
        <v>0</v>
      </c>
      <c r="AH70" s="185">
        <f>IF(AH17&gt;ev_periode_jaar,0,Achtergrondparameters!AC57)</f>
        <v>0</v>
      </c>
      <c r="AI70" s="185">
        <f>IF(AI17&gt;ev_periode_jaar,0,Achtergrondparameters!AD57)</f>
        <v>0</v>
      </c>
      <c r="AJ70" s="185">
        <f>IF(AJ17&gt;ev_periode_jaar,0,Achtergrondparameters!AE57)</f>
        <v>0</v>
      </c>
      <c r="AK70" s="185">
        <f>IF(AK17&gt;ev_periode_jaar,0,Achtergrondparameters!AF57)</f>
        <v>0</v>
      </c>
    </row>
    <row r="71" spans="1:37" s="177" customFormat="1" ht="14.25" customHeight="1" x14ac:dyDescent="0.3">
      <c r="A71" s="187" t="s">
        <v>211</v>
      </c>
      <c r="B71" s="184"/>
      <c r="C71" s="177" t="s">
        <v>216</v>
      </c>
      <c r="D71" s="21"/>
      <c r="E71" s="21"/>
      <c r="F71" s="21"/>
      <c r="G71" s="21"/>
      <c r="H71" s="189">
        <f>IF(H17&gt;ev_periode_jaar,0,Achtergrondparameters!C63)</f>
        <v>7.7200000000000003E-3</v>
      </c>
      <c r="I71" s="189">
        <f>IF(I17&gt;ev_periode_jaar,0,Achtergrondparameters!D63)</f>
        <v>7.8744000000000001E-3</v>
      </c>
      <c r="J71" s="189">
        <f>IF(J17&gt;ev_periode_jaar,0,Achtergrondparameters!E63)</f>
        <v>8.0318880000000009E-3</v>
      </c>
      <c r="K71" s="189">
        <f>IF(K17&gt;ev_periode_jaar,0,Achtergrondparameters!F63)</f>
        <v>8.1925257600000013E-3</v>
      </c>
      <c r="L71" s="189">
        <f>IF(L17&gt;ev_periode_jaar,0,Achtergrondparameters!G63)</f>
        <v>8.3563762752000021E-3</v>
      </c>
      <c r="M71" s="189">
        <f>IF(M17&gt;ev_periode_jaar,0,Achtergrondparameters!H63)</f>
        <v>8.5235038007040031E-3</v>
      </c>
      <c r="N71" s="189">
        <f>IF(N17&gt;ev_periode_jaar,0,Achtergrondparameters!I63)</f>
        <v>8.6939738767180825E-3</v>
      </c>
      <c r="O71" s="189">
        <f>IF(O17&gt;ev_periode_jaar,0,Achtergrondparameters!J63)</f>
        <v>8.8678533542524435E-3</v>
      </c>
      <c r="P71" s="189">
        <f>IF(P17&gt;ev_periode_jaar,0,Achtergrondparameters!K63)</f>
        <v>9.0452104213374924E-3</v>
      </c>
      <c r="Q71" s="189">
        <f>IF(Q17&gt;ev_periode_jaar,0,Achtergrondparameters!L63)</f>
        <v>9.226114629764243E-3</v>
      </c>
      <c r="R71" s="194">
        <f>IF(R17&gt;ev_periode_jaar,0,Achtergrondparameters!M63)</f>
        <v>9.4106369223595273E-3</v>
      </c>
      <c r="S71" s="194">
        <f>IF(S17&gt;ev_periode_jaar,0,Achtergrondparameters!N63)</f>
        <v>9.5988496608067179E-3</v>
      </c>
      <c r="T71" s="194">
        <f>IF(T17&gt;ev_periode_jaar,0,Achtergrondparameters!O63)</f>
        <v>9.7908266540228522E-3</v>
      </c>
      <c r="U71" s="194">
        <f>IF(U17&gt;ev_periode_jaar,0,Achtergrondparameters!P63)</f>
        <v>9.9866431871033102E-3</v>
      </c>
      <c r="V71" s="194">
        <f>IF(V17&gt;ev_periode_jaar,0,Achtergrondparameters!Q63)</f>
        <v>1.0186376050845377E-2</v>
      </c>
      <c r="W71" s="194">
        <f>IF(W17&gt;ev_periode_jaar,0,Achtergrondparameters!R63)</f>
        <v>0</v>
      </c>
      <c r="X71" s="194">
        <f>IF(X17&gt;ev_periode_jaar,0,Achtergrondparameters!S63)</f>
        <v>0</v>
      </c>
      <c r="Y71" s="194">
        <f>IF(Y17&gt;ev_periode_jaar,0,Achtergrondparameters!T63)</f>
        <v>0</v>
      </c>
      <c r="Z71" s="194">
        <f>IF(Z17&gt;ev_periode_jaar,0,Achtergrondparameters!U63)</f>
        <v>0</v>
      </c>
      <c r="AA71" s="194">
        <f>IF(AA17&gt;ev_periode_jaar,0,Achtergrondparameters!V63)</f>
        <v>0</v>
      </c>
      <c r="AB71" s="194">
        <f>IF(AB17&gt;ev_periode_jaar,0,Achtergrondparameters!W63)</f>
        <v>0</v>
      </c>
      <c r="AC71" s="194">
        <f>IF(AC17&gt;ev_periode_jaar,0,Achtergrondparameters!X63)</f>
        <v>0</v>
      </c>
      <c r="AD71" s="194">
        <f>IF(AD17&gt;ev_periode_jaar,0,Achtergrondparameters!Y63)</f>
        <v>0</v>
      </c>
      <c r="AE71" s="194">
        <f>IF(AE17&gt;ev_periode_jaar,0,Achtergrondparameters!Z63)</f>
        <v>0</v>
      </c>
      <c r="AF71" s="194">
        <f>IF(AF17&gt;ev_periode_jaar,0,Achtergrondparameters!AA63)</f>
        <v>0</v>
      </c>
      <c r="AG71" s="194">
        <f>IF(AG17&gt;ev_periode_jaar,0,Achtergrondparameters!AB63)</f>
        <v>0</v>
      </c>
      <c r="AH71" s="194">
        <f>IF(AH17&gt;ev_periode_jaar,0,Achtergrondparameters!AC63)</f>
        <v>0</v>
      </c>
      <c r="AI71" s="194">
        <f>IF(AI17&gt;ev_periode_jaar,0,Achtergrondparameters!AD63)</f>
        <v>0</v>
      </c>
      <c r="AJ71" s="194">
        <f>IF(AJ17&gt;ev_periode_jaar,0,Achtergrondparameters!AE63)</f>
        <v>0</v>
      </c>
      <c r="AK71" s="194">
        <f>IF(AK17&gt;ev_periode_jaar,0,Achtergrondparameters!AF63)</f>
        <v>0</v>
      </c>
    </row>
    <row r="72" spans="1:37" s="177" customFormat="1" ht="14.1" customHeight="1" x14ac:dyDescent="0.3">
      <c r="A72" s="187" t="s">
        <v>212</v>
      </c>
      <c r="B72" s="189"/>
      <c r="C72" s="177" t="s">
        <v>216</v>
      </c>
      <c r="D72" s="21"/>
      <c r="E72" s="21"/>
      <c r="F72" s="21"/>
      <c r="G72" s="21"/>
      <c r="H72" s="189">
        <f t="shared" ref="H72:AK72" si="19">IF(H17&gt;ev_periode_jaar,0,SUM(H70:H71))</f>
        <v>9.029207672108662E-2</v>
      </c>
      <c r="I72" s="189">
        <f t="shared" si="19"/>
        <v>9.1579913168544871E-2</v>
      </c>
      <c r="J72" s="189">
        <f t="shared" si="19"/>
        <v>9.2870837616003135E-2</v>
      </c>
      <c r="K72" s="189">
        <f t="shared" si="19"/>
        <v>9.4164911823461386E-2</v>
      </c>
      <c r="L72" s="189">
        <f t="shared" si="19"/>
        <v>9.5462198786119654E-2</v>
      </c>
      <c r="M72" s="189">
        <f t="shared" si="19"/>
        <v>9.6762762759081911E-2</v>
      </c>
      <c r="N72" s="189">
        <f t="shared" si="19"/>
        <v>9.549417297691129E-2</v>
      </c>
      <c r="O72" s="189">
        <f t="shared" si="19"/>
        <v>9.4228992596260955E-2</v>
      </c>
      <c r="P72" s="189">
        <f t="shared" si="19"/>
        <v>9.2967289805161307E-2</v>
      </c>
      <c r="Q72" s="189">
        <f t="shared" si="19"/>
        <v>9.1709134155403368E-2</v>
      </c>
      <c r="R72" s="194">
        <f t="shared" si="19"/>
        <v>9.0454596589813946E-2</v>
      </c>
      <c r="S72" s="194">
        <f t="shared" si="19"/>
        <v>9.0361411045013412E-2</v>
      </c>
      <c r="T72" s="194">
        <f t="shared" si="19"/>
        <v>9.027198975498181E-2</v>
      </c>
      <c r="U72" s="194">
        <f t="shared" si="19"/>
        <v>9.0186408004814547E-2</v>
      </c>
      <c r="V72" s="194">
        <f t="shared" si="19"/>
        <v>9.0104742585308886E-2</v>
      </c>
      <c r="W72" s="194">
        <f t="shared" si="19"/>
        <v>0</v>
      </c>
      <c r="X72" s="194">
        <f t="shared" si="19"/>
        <v>0</v>
      </c>
      <c r="Y72" s="194">
        <f t="shared" si="19"/>
        <v>0</v>
      </c>
      <c r="Z72" s="194">
        <f t="shared" si="19"/>
        <v>0</v>
      </c>
      <c r="AA72" s="194">
        <f t="shared" si="19"/>
        <v>0</v>
      </c>
      <c r="AB72" s="194">
        <f t="shared" si="19"/>
        <v>0</v>
      </c>
      <c r="AC72" s="194">
        <f t="shared" si="19"/>
        <v>0</v>
      </c>
      <c r="AD72" s="194">
        <f t="shared" si="19"/>
        <v>0</v>
      </c>
      <c r="AE72" s="194">
        <f t="shared" si="19"/>
        <v>0</v>
      </c>
      <c r="AF72" s="194">
        <f t="shared" si="19"/>
        <v>0</v>
      </c>
      <c r="AG72" s="194">
        <f t="shared" si="19"/>
        <v>0</v>
      </c>
      <c r="AH72" s="194">
        <f t="shared" si="19"/>
        <v>0</v>
      </c>
      <c r="AI72" s="194">
        <f t="shared" si="19"/>
        <v>0</v>
      </c>
      <c r="AJ72" s="194">
        <f t="shared" si="19"/>
        <v>0</v>
      </c>
      <c r="AK72" s="194">
        <f t="shared" si="19"/>
        <v>0</v>
      </c>
    </row>
    <row r="73" spans="1:37" s="177" customFormat="1" ht="14.1" customHeight="1" x14ac:dyDescent="0.3">
      <c r="A73" s="192" t="s">
        <v>213</v>
      </c>
      <c r="B73" s="176"/>
      <c r="C73" s="177" t="s">
        <v>64</v>
      </c>
      <c r="D73" s="21"/>
      <c r="E73" s="21"/>
      <c r="F73" s="21"/>
      <c r="G73" s="21"/>
      <c r="H73" s="188">
        <f t="shared" ref="H73:AK73" si="20">IF(H17&gt;ev_periode_jaar,0,IFERROR(H72*H30,""))</f>
        <v>722336.61376869294</v>
      </c>
      <c r="I73" s="195">
        <f t="shared" si="20"/>
        <v>732639.30534835893</v>
      </c>
      <c r="J73" s="195">
        <f t="shared" si="20"/>
        <v>742966.70092802506</v>
      </c>
      <c r="K73" s="195">
        <f t="shared" si="20"/>
        <v>753319.29458769108</v>
      </c>
      <c r="L73" s="195">
        <f t="shared" si="20"/>
        <v>763697.59028895723</v>
      </c>
      <c r="M73" s="195">
        <f t="shared" si="20"/>
        <v>774102.10207265534</v>
      </c>
      <c r="N73" s="195">
        <f t="shared" si="20"/>
        <v>763953.38381529029</v>
      </c>
      <c r="O73" s="195">
        <f t="shared" si="20"/>
        <v>753831.94077008765</v>
      </c>
      <c r="P73" s="195">
        <f t="shared" si="20"/>
        <v>743738.31844129041</v>
      </c>
      <c r="Q73" s="195">
        <f t="shared" si="20"/>
        <v>733673.07324322697</v>
      </c>
      <c r="R73" s="195">
        <f t="shared" si="20"/>
        <v>723636.77271851152</v>
      </c>
      <c r="S73" s="195">
        <f t="shared" si="20"/>
        <v>722891.28836010734</v>
      </c>
      <c r="T73" s="195">
        <f t="shared" si="20"/>
        <v>722175.9180398545</v>
      </c>
      <c r="U73" s="195">
        <f t="shared" si="20"/>
        <v>721491.26403851632</v>
      </c>
      <c r="V73" s="195">
        <f t="shared" si="20"/>
        <v>720837.94068247115</v>
      </c>
      <c r="W73" s="195">
        <f t="shared" si="20"/>
        <v>0</v>
      </c>
      <c r="X73" s="195">
        <f t="shared" si="20"/>
        <v>0</v>
      </c>
      <c r="Y73" s="195">
        <f t="shared" si="20"/>
        <v>0</v>
      </c>
      <c r="Z73" s="195">
        <f t="shared" si="20"/>
        <v>0</v>
      </c>
      <c r="AA73" s="195">
        <f t="shared" si="20"/>
        <v>0</v>
      </c>
      <c r="AB73" s="195">
        <f t="shared" si="20"/>
        <v>0</v>
      </c>
      <c r="AC73" s="195">
        <f t="shared" si="20"/>
        <v>0</v>
      </c>
      <c r="AD73" s="195">
        <f t="shared" si="20"/>
        <v>0</v>
      </c>
      <c r="AE73" s="195">
        <f t="shared" si="20"/>
        <v>0</v>
      </c>
      <c r="AF73" s="195">
        <f t="shared" si="20"/>
        <v>0</v>
      </c>
      <c r="AG73" s="195">
        <f t="shared" si="20"/>
        <v>0</v>
      </c>
      <c r="AH73" s="195">
        <f t="shared" si="20"/>
        <v>0</v>
      </c>
      <c r="AI73" s="195">
        <f t="shared" si="20"/>
        <v>0</v>
      </c>
      <c r="AJ73" s="195">
        <f t="shared" si="20"/>
        <v>0</v>
      </c>
      <c r="AK73" s="195">
        <f t="shared" si="20"/>
        <v>0</v>
      </c>
    </row>
    <row r="74" spans="1:37" s="177" customFormat="1" ht="14.25" customHeight="1" x14ac:dyDescent="0.3">
      <c r="A74" s="183"/>
      <c r="B74" s="176"/>
      <c r="D74" s="21"/>
      <c r="E74" s="21"/>
      <c r="F74" s="21"/>
      <c r="G74" s="21"/>
      <c r="H74" s="188"/>
      <c r="I74" s="195"/>
      <c r="J74" s="195"/>
      <c r="K74" s="195"/>
      <c r="L74" s="195"/>
      <c r="M74" s="195"/>
      <c r="N74" s="195"/>
      <c r="O74" s="195"/>
      <c r="P74" s="195"/>
      <c r="Q74" s="195"/>
      <c r="R74" s="195"/>
      <c r="S74" s="195"/>
      <c r="T74" s="195"/>
      <c r="U74" s="195"/>
      <c r="V74" s="195"/>
      <c r="W74" s="195"/>
      <c r="X74" s="195"/>
      <c r="Y74" s="195"/>
      <c r="Z74" s="195"/>
      <c r="AA74" s="195"/>
      <c r="AB74" s="195"/>
      <c r="AC74" s="195"/>
      <c r="AD74" s="195"/>
      <c r="AE74" s="195"/>
      <c r="AF74" s="195"/>
      <c r="AG74" s="195"/>
      <c r="AH74" s="195"/>
      <c r="AI74" s="195"/>
      <c r="AJ74" s="195"/>
      <c r="AK74" s="195"/>
    </row>
    <row r="75" spans="1:37" s="21" customFormat="1" ht="14.25" customHeight="1" x14ac:dyDescent="0.3">
      <c r="A75" s="97"/>
      <c r="B75" s="146"/>
      <c r="C75" s="109"/>
      <c r="H75" s="33"/>
      <c r="I75" s="136"/>
      <c r="J75" s="136"/>
      <c r="K75" s="136"/>
      <c r="L75" s="136"/>
      <c r="M75" s="136"/>
      <c r="N75" s="136"/>
      <c r="O75" s="136"/>
      <c r="P75" s="136"/>
      <c r="Q75" s="136"/>
      <c r="R75" s="83"/>
      <c r="S75" s="83"/>
      <c r="T75" s="83"/>
      <c r="U75" s="83"/>
      <c r="V75" s="83"/>
      <c r="W75" s="83"/>
      <c r="X75" s="83"/>
      <c r="Y75" s="83"/>
      <c r="Z75" s="83"/>
      <c r="AA75" s="83"/>
      <c r="AB75" s="83"/>
      <c r="AC75" s="83"/>
      <c r="AD75" s="83"/>
      <c r="AE75" s="83"/>
      <c r="AF75" s="83"/>
      <c r="AG75" s="83"/>
      <c r="AH75" s="83"/>
      <c r="AI75" s="83"/>
      <c r="AJ75" s="83"/>
      <c r="AK75" s="83"/>
    </row>
    <row r="76" spans="1:37" s="49" customFormat="1" ht="14.25" customHeight="1" x14ac:dyDescent="0.3">
      <c r="A76" s="87" t="s">
        <v>218</v>
      </c>
      <c r="B76" s="88"/>
      <c r="C76" s="87" t="s">
        <v>81</v>
      </c>
      <c r="D76" s="89"/>
      <c r="E76" s="89"/>
      <c r="F76" s="89"/>
      <c r="G76" s="89"/>
    </row>
    <row r="77" spans="1:37" s="49" customFormat="1" ht="14.25" customHeight="1" x14ac:dyDescent="0.3">
      <c r="A77" s="87" t="s">
        <v>219</v>
      </c>
      <c r="B77" s="88"/>
      <c r="C77" s="87"/>
      <c r="D77" s="89"/>
      <c r="E77" s="89"/>
      <c r="F77" s="89"/>
      <c r="G77" s="89"/>
    </row>
    <row r="78" spans="1:37" s="21" customFormat="1" ht="14.25" customHeight="1" x14ac:dyDescent="0.3">
      <c r="A78" s="168" t="s">
        <v>220</v>
      </c>
      <c r="B78" s="33"/>
      <c r="C78" s="21" t="s">
        <v>90</v>
      </c>
      <c r="H78" s="295">
        <f>IF(H17&gt;ev_periode_jaar,0,Achtergrondparameters!C25)</f>
        <v>3.2000000000000001E-2</v>
      </c>
      <c r="I78" s="295">
        <f>IF(I17&gt;ev_periode_jaar,0,Achtergrondparameters!D25)</f>
        <v>3.2000000000000001E-2</v>
      </c>
      <c r="J78" s="295">
        <f>IF(J17&gt;ev_periode_jaar,0,Achtergrondparameters!E25)</f>
        <v>3.2000000000000001E-2</v>
      </c>
      <c r="K78" s="295">
        <f>IF(K17&gt;ev_periode_jaar,0,Achtergrondparameters!F25)</f>
        <v>3.2000000000000001E-2</v>
      </c>
      <c r="L78" s="295">
        <f>IF(L17&gt;ev_periode_jaar,0,Achtergrondparameters!G25)</f>
        <v>3.2000000000000001E-2</v>
      </c>
      <c r="M78" s="295">
        <f>IF(M17&gt;ev_periode_jaar,0,Achtergrondparameters!H25)</f>
        <v>3.2000000000000001E-2</v>
      </c>
      <c r="N78" s="295">
        <f>IF(N17&gt;ev_periode_jaar,0,Achtergrondparameters!I25)</f>
        <v>3.2000000000000001E-2</v>
      </c>
      <c r="O78" s="295">
        <f>IF(O17&gt;ev_periode_jaar,0,Achtergrondparameters!J25)</f>
        <v>3.2000000000000001E-2</v>
      </c>
      <c r="P78" s="295">
        <f>IF(P17&gt;ev_periode_jaar,0,Achtergrondparameters!K25)</f>
        <v>3.2000000000000001E-2</v>
      </c>
      <c r="Q78" s="295">
        <f>IF(Q17&gt;ev_periode_jaar,0,Achtergrondparameters!L25)</f>
        <v>3.2000000000000001E-2</v>
      </c>
      <c r="R78" s="295">
        <f>IF(R17&gt;ev_periode_jaar,0,Achtergrondparameters!M25)</f>
        <v>3.2000000000000001E-2</v>
      </c>
      <c r="S78" s="295">
        <f>IF(S17&gt;ev_periode_jaar,0,Achtergrondparameters!N25)</f>
        <v>3.2000000000000001E-2</v>
      </c>
      <c r="T78" s="295">
        <f>IF(T17&gt;ev_periode_jaar,0,Achtergrondparameters!O25)</f>
        <v>3.2000000000000001E-2</v>
      </c>
      <c r="U78" s="295">
        <f>IF(U17&gt;ev_periode_jaar,0,Achtergrondparameters!P25)</f>
        <v>3.2000000000000001E-2</v>
      </c>
      <c r="V78" s="295">
        <f>IF(V17&gt;ev_periode_jaar,0,Achtergrondparameters!Q25)</f>
        <v>3.2000000000000001E-2</v>
      </c>
      <c r="W78" s="295">
        <f>IF(W17&gt;ev_periode_jaar,0,Achtergrondparameters!R25)</f>
        <v>0</v>
      </c>
      <c r="X78" s="295">
        <f>IF(X17&gt;ev_periode_jaar,0,Achtergrondparameters!S25)</f>
        <v>0</v>
      </c>
      <c r="Y78" s="295">
        <f>IF(Y17&gt;ev_periode_jaar,0,Achtergrondparameters!T25)</f>
        <v>0</v>
      </c>
      <c r="Z78" s="295">
        <f>IF(Z17&gt;ev_periode_jaar,0,Achtergrondparameters!U25)</f>
        <v>0</v>
      </c>
      <c r="AA78" s="295">
        <f>IF(AA17&gt;ev_periode_jaar,0,Achtergrondparameters!V25)</f>
        <v>0</v>
      </c>
      <c r="AB78" s="295">
        <f>IF(AB17&gt;ev_periode_jaar,0,Achtergrondparameters!W25)</f>
        <v>0</v>
      </c>
      <c r="AC78" s="295">
        <f>IF(AC17&gt;ev_periode_jaar,0,Achtergrondparameters!X25)</f>
        <v>0</v>
      </c>
      <c r="AD78" s="295">
        <f>IF(AD17&gt;ev_periode_jaar,0,Achtergrondparameters!Y25)</f>
        <v>0</v>
      </c>
      <c r="AE78" s="295">
        <f>IF(AE17&gt;ev_periode_jaar,0,Achtergrondparameters!Z25)</f>
        <v>0</v>
      </c>
      <c r="AF78" s="295">
        <f>IF(AF17&gt;ev_periode_jaar,0,Achtergrondparameters!AA25)</f>
        <v>0</v>
      </c>
      <c r="AG78" s="295">
        <f>IF(AG17&gt;ev_periode_jaar,0,Achtergrondparameters!AB25)</f>
        <v>0</v>
      </c>
      <c r="AH78" s="295">
        <f>IF(AH17&gt;ev_periode_jaar,0,Achtergrondparameters!AC25)</f>
        <v>0</v>
      </c>
      <c r="AI78" s="295">
        <f>IF(AI17&gt;ev_periode_jaar,0,Achtergrondparameters!AD25)</f>
        <v>0</v>
      </c>
      <c r="AJ78" s="295">
        <f>IF(AJ17&gt;ev_periode_jaar,0,Achtergrondparameters!AE25)</f>
        <v>0</v>
      </c>
      <c r="AK78" s="295">
        <f>IF(AK17&gt;ev_periode_jaar,0,Achtergrondparameters!AF25)</f>
        <v>0</v>
      </c>
    </row>
    <row r="79" spans="1:37" s="21" customFormat="1" ht="14.25" customHeight="1" x14ac:dyDescent="0.3">
      <c r="A79" s="168" t="s">
        <v>221</v>
      </c>
      <c r="B79" s="33"/>
      <c r="C79" s="21" t="s">
        <v>90</v>
      </c>
      <c r="H79" s="296">
        <f>IF(H17&gt;ev_periode_jaar,0,Achtergrondparameters!C26)</f>
        <v>1.9399999999999997E-2</v>
      </c>
      <c r="I79" s="296">
        <f>IF(I17&gt;ev_periode_jaar,0,Achtergrondparameters!D26)</f>
        <v>1.9787999999999997E-2</v>
      </c>
      <c r="J79" s="296">
        <f>IF(J17&gt;ev_periode_jaar,0,Achtergrondparameters!E26)</f>
        <v>2.0183759999999999E-2</v>
      </c>
      <c r="K79" s="296">
        <f>IF(K17&gt;ev_periode_jaar,0,Achtergrondparameters!F26)</f>
        <v>2.05874352E-2</v>
      </c>
      <c r="L79" s="296">
        <f>IF(L17&gt;ev_periode_jaar,0,Achtergrondparameters!G26)</f>
        <v>2.0999183904000001E-2</v>
      </c>
      <c r="M79" s="296">
        <f>IF(M17&gt;ev_periode_jaar,0,Achtergrondparameters!H26)</f>
        <v>2.1419167582080002E-2</v>
      </c>
      <c r="N79" s="296">
        <f>IF(N17&gt;ev_periode_jaar,0,Achtergrondparameters!I26)</f>
        <v>2.18475509337216E-2</v>
      </c>
      <c r="O79" s="296">
        <f>IF(O17&gt;ev_periode_jaar,0,Achtergrondparameters!J26)</f>
        <v>2.2284501952396032E-2</v>
      </c>
      <c r="P79" s="296">
        <f>IF(P17&gt;ev_periode_jaar,0,Achtergrondparameters!K26)</f>
        <v>2.2730191991443952E-2</v>
      </c>
      <c r="Q79" s="296">
        <f>IF(Q17&gt;ev_periode_jaar,0,Achtergrondparameters!L26)</f>
        <v>2.3184795831272829E-2</v>
      </c>
      <c r="R79" s="296">
        <f>IF(R17&gt;ev_periode_jaar,0,Achtergrondparameters!M26)</f>
        <v>2.3648491747898286E-2</v>
      </c>
      <c r="S79" s="296">
        <f>IF(S17&gt;ev_periode_jaar,0,Achtergrondparameters!N26)</f>
        <v>2.4121461582856253E-2</v>
      </c>
      <c r="T79" s="296">
        <f>IF(T17&gt;ev_periode_jaar,0,Achtergrondparameters!O26)</f>
        <v>2.460389081451338E-2</v>
      </c>
      <c r="U79" s="296">
        <f>IF(U17&gt;ev_periode_jaar,0,Achtergrondparameters!P26)</f>
        <v>2.5095968630803649E-2</v>
      </c>
      <c r="V79" s="296">
        <f>IF(V17&gt;ev_periode_jaar,0,Achtergrondparameters!Q26)</f>
        <v>2.5597888003419722E-2</v>
      </c>
      <c r="W79" s="296">
        <f>IF(W17&gt;ev_periode_jaar,0,Achtergrondparameters!R26)</f>
        <v>0</v>
      </c>
      <c r="X79" s="296">
        <f>IF(X17&gt;ev_periode_jaar,0,Achtergrondparameters!S26)</f>
        <v>0</v>
      </c>
      <c r="Y79" s="296">
        <f>IF(Y17&gt;ev_periode_jaar,0,Achtergrondparameters!T26)</f>
        <v>0</v>
      </c>
      <c r="Z79" s="296">
        <f>IF(Z17&gt;ev_periode_jaar,0,Achtergrondparameters!U26)</f>
        <v>0</v>
      </c>
      <c r="AA79" s="296">
        <f>IF(AA17&gt;ev_periode_jaar,0,Achtergrondparameters!V26)</f>
        <v>0</v>
      </c>
      <c r="AB79" s="296">
        <f>IF(AB17&gt;ev_periode_jaar,0,Achtergrondparameters!W26)</f>
        <v>0</v>
      </c>
      <c r="AC79" s="296">
        <f>IF(AC17&gt;ev_periode_jaar,0,Achtergrondparameters!X26)</f>
        <v>0</v>
      </c>
      <c r="AD79" s="296">
        <f>IF(AD17&gt;ev_periode_jaar,0,Achtergrondparameters!Y26)</f>
        <v>0</v>
      </c>
      <c r="AE79" s="296">
        <f>IF(AE17&gt;ev_periode_jaar,0,Achtergrondparameters!Z26)</f>
        <v>0</v>
      </c>
      <c r="AF79" s="296">
        <f>IF(AF17&gt;ev_periode_jaar,0,Achtergrondparameters!AA26)</f>
        <v>0</v>
      </c>
      <c r="AG79" s="296">
        <f>IF(AG17&gt;ev_periode_jaar,0,Achtergrondparameters!AB26)</f>
        <v>0</v>
      </c>
      <c r="AH79" s="296">
        <f>IF(AH17&gt;ev_periode_jaar,0,Achtergrondparameters!AC26)</f>
        <v>0</v>
      </c>
      <c r="AI79" s="296">
        <f>IF(AI17&gt;ev_periode_jaar,0,Achtergrondparameters!AD26)</f>
        <v>0</v>
      </c>
      <c r="AJ79" s="296">
        <f>IF(AJ17&gt;ev_periode_jaar,0,Achtergrondparameters!AE26)</f>
        <v>0</v>
      </c>
      <c r="AK79" s="296">
        <f>IF(AK17&gt;ev_periode_jaar,0,Achtergrondparameters!AF26)</f>
        <v>0</v>
      </c>
    </row>
    <row r="80" spans="1:37" s="21" customFormat="1" ht="14.25" customHeight="1" x14ac:dyDescent="0.3">
      <c r="A80" s="20" t="s">
        <v>222</v>
      </c>
      <c r="B80" s="33"/>
      <c r="C80" s="21" t="s">
        <v>90</v>
      </c>
      <c r="H80" s="96">
        <f t="shared" ref="H80:AK80" si="21">IF(H17&gt;ev_periode_jaar,0,H78+H79)</f>
        <v>5.1400000000000001E-2</v>
      </c>
      <c r="I80" s="96">
        <f t="shared" si="21"/>
        <v>5.1788000000000001E-2</v>
      </c>
      <c r="J80" s="96">
        <f t="shared" si="21"/>
        <v>5.2183759999999996E-2</v>
      </c>
      <c r="K80" s="96">
        <f t="shared" si="21"/>
        <v>5.2587435200000004E-2</v>
      </c>
      <c r="L80" s="96">
        <f t="shared" si="21"/>
        <v>5.2999183904000005E-2</v>
      </c>
      <c r="M80" s="96">
        <f t="shared" si="21"/>
        <v>5.3419167582079999E-2</v>
      </c>
      <c r="N80" s="96">
        <f t="shared" si="21"/>
        <v>5.3847550933721601E-2</v>
      </c>
      <c r="O80" s="96">
        <f t="shared" si="21"/>
        <v>5.4284501952396036E-2</v>
      </c>
      <c r="P80" s="96">
        <f t="shared" si="21"/>
        <v>5.4730191991443952E-2</v>
      </c>
      <c r="Q80" s="96">
        <f t="shared" si="21"/>
        <v>5.518479583127283E-2</v>
      </c>
      <c r="R80" s="96">
        <f t="shared" si="21"/>
        <v>5.5648491747898286E-2</v>
      </c>
      <c r="S80" s="96">
        <f t="shared" si="21"/>
        <v>5.6121461582856254E-2</v>
      </c>
      <c r="T80" s="96">
        <f t="shared" si="21"/>
        <v>5.6603890814513377E-2</v>
      </c>
      <c r="U80" s="96">
        <f t="shared" si="21"/>
        <v>5.7095968630803649E-2</v>
      </c>
      <c r="V80" s="96">
        <f t="shared" si="21"/>
        <v>5.7597888003419723E-2</v>
      </c>
      <c r="W80" s="96">
        <f t="shared" si="21"/>
        <v>0</v>
      </c>
      <c r="X80" s="96">
        <f t="shared" si="21"/>
        <v>0</v>
      </c>
      <c r="Y80" s="96">
        <f t="shared" si="21"/>
        <v>0</v>
      </c>
      <c r="Z80" s="96">
        <f t="shared" si="21"/>
        <v>0</v>
      </c>
      <c r="AA80" s="96">
        <f t="shared" si="21"/>
        <v>0</v>
      </c>
      <c r="AB80" s="96">
        <f t="shared" si="21"/>
        <v>0</v>
      </c>
      <c r="AC80" s="96">
        <f t="shared" si="21"/>
        <v>0</v>
      </c>
      <c r="AD80" s="96">
        <f t="shared" si="21"/>
        <v>0</v>
      </c>
      <c r="AE80" s="96">
        <f t="shared" si="21"/>
        <v>0</v>
      </c>
      <c r="AF80" s="96">
        <f t="shared" si="21"/>
        <v>0</v>
      </c>
      <c r="AG80" s="96">
        <f t="shared" si="21"/>
        <v>0</v>
      </c>
      <c r="AH80" s="96">
        <f t="shared" si="21"/>
        <v>0</v>
      </c>
      <c r="AI80" s="96">
        <f t="shared" si="21"/>
        <v>0</v>
      </c>
      <c r="AJ80" s="96">
        <f t="shared" si="21"/>
        <v>0</v>
      </c>
      <c r="AK80" s="96">
        <f t="shared" si="21"/>
        <v>0</v>
      </c>
    </row>
    <row r="81" spans="1:37" s="21" customFormat="1" ht="14.25" customHeight="1" x14ac:dyDescent="0.3">
      <c r="A81" s="20"/>
      <c r="B81" s="33"/>
      <c r="C81" s="21" t="s">
        <v>223</v>
      </c>
      <c r="H81" s="96">
        <f>IF(H17&gt;ev_periode_jaar,0,H80*35.17/31.65/Achtergrondparameters!$B$11)</f>
        <v>6.3462804985079863E-2</v>
      </c>
      <c r="I81" s="96">
        <f>IF(I17&gt;ev_periode_jaar,0,I80*35.17/31.65/Achtergrondparameters!$B$11)</f>
        <v>6.3941862734772689E-2</v>
      </c>
      <c r="J81" s="96">
        <f>IF(J17&gt;ev_periode_jaar,0,J80*35.17/31.65/Achtergrondparameters!$B$11)</f>
        <v>6.4430501639459362E-2</v>
      </c>
      <c r="K81" s="96">
        <f>IF(K17&gt;ev_periode_jaar,0,K80*35.17/31.65/Achtergrondparameters!$B$11)</f>
        <v>6.4928913322239781E-2</v>
      </c>
      <c r="L81" s="96">
        <f>IF(L17&gt;ev_periode_jaar,0,L80*35.17/31.65/Achtergrondparameters!$B$11)</f>
        <v>6.5437293238675809E-2</v>
      </c>
      <c r="M81" s="96">
        <f>IF(M17&gt;ev_periode_jaar,0,M80*35.17/31.65/Achtergrondparameters!$B$11)</f>
        <v>6.5955840753440548E-2</v>
      </c>
      <c r="N81" s="96">
        <f>IF(N17&gt;ev_periode_jaar,0,N80*35.17/31.65/Achtergrondparameters!$B$11)</f>
        <v>6.6484759218500569E-2</v>
      </c>
      <c r="O81" s="96">
        <f>IF(O17&gt;ev_periode_jaar,0,O80*35.17/31.65/Achtergrondparameters!$B$11)</f>
        <v>6.7024256052861803E-2</v>
      </c>
      <c r="P81" s="96">
        <f>IF(P17&gt;ev_periode_jaar,0,P80*35.17/31.65/Achtergrondparameters!$B$11)</f>
        <v>6.7574542823910275E-2</v>
      </c>
      <c r="Q81" s="96">
        <f>IF(Q17&gt;ev_periode_jaar,0,Q80*35.17/31.65/Achtergrondparameters!$B$11)</f>
        <v>6.8135835330379688E-2</v>
      </c>
      <c r="R81" s="96">
        <f>IF(R17&gt;ev_periode_jaar,0,R80*35.17/31.65/Achtergrondparameters!$B$11)</f>
        <v>6.8708353686978516E-2</v>
      </c>
      <c r="S81" s="96">
        <f>IF(S17&gt;ev_periode_jaar,0,S80*35.17/31.65/Achtergrondparameters!$B$11)</f>
        <v>6.9292322410709303E-2</v>
      </c>
      <c r="T81" s="96">
        <f>IF(T17&gt;ev_periode_jaar,0,T80*35.17/31.65/Achtergrondparameters!$B$11)</f>
        <v>6.9887970508914724E-2</v>
      </c>
      <c r="U81" s="96">
        <f>IF(U17&gt;ev_periode_jaar,0,U80*35.17/31.65/Achtergrondparameters!$B$11)</f>
        <v>7.0495531569084238E-2</v>
      </c>
      <c r="V81" s="96">
        <f>IF(V17&gt;ev_periode_jaar,0,V80*35.17/31.65/Achtergrondparameters!$B$11)</f>
        <v>7.1115243850457144E-2</v>
      </c>
      <c r="W81" s="96">
        <f>IF(W17&gt;ev_periode_jaar,0,W80*35.17/31.65/Achtergrondparameters!$B$11)</f>
        <v>0</v>
      </c>
      <c r="X81" s="96">
        <f>IF(X17&gt;ev_periode_jaar,0,X80*35.17/31.65/Achtergrondparameters!$B$11)</f>
        <v>0</v>
      </c>
      <c r="Y81" s="96">
        <f>IF(Y17&gt;ev_periode_jaar,0,Y80*35.17/31.65/Achtergrondparameters!$B$11)</f>
        <v>0</v>
      </c>
      <c r="Z81" s="96">
        <f>IF(Z17&gt;ev_periode_jaar,0,Z80*35.17/31.65/Achtergrondparameters!$B$11)</f>
        <v>0</v>
      </c>
      <c r="AA81" s="96">
        <f>IF(AA17&gt;ev_periode_jaar,0,AA80*35.17/31.65/Achtergrondparameters!$B$11)</f>
        <v>0</v>
      </c>
      <c r="AB81" s="96">
        <f>IF(AB17&gt;ev_periode_jaar,0,AB80*35.17/31.65/Achtergrondparameters!$B$11)</f>
        <v>0</v>
      </c>
      <c r="AC81" s="96">
        <f>IF(AC17&gt;ev_periode_jaar,0,AC80*35.17/31.65/Achtergrondparameters!$B$11)</f>
        <v>0</v>
      </c>
      <c r="AD81" s="96">
        <f>IF(AD17&gt;ev_periode_jaar,0,AD80*35.17/31.65/Achtergrondparameters!$B$11)</f>
        <v>0</v>
      </c>
      <c r="AE81" s="96">
        <f>IF(AE17&gt;ev_periode_jaar,0,AE80*35.17/31.65/Achtergrondparameters!$B$11)</f>
        <v>0</v>
      </c>
      <c r="AF81" s="96">
        <f>IF(AF17&gt;ev_periode_jaar,0,AF80*35.17/31.65/Achtergrondparameters!$B$11)</f>
        <v>0</v>
      </c>
      <c r="AG81" s="96">
        <f>IF(AG17&gt;ev_periode_jaar,0,AG80*35.17/31.65/Achtergrondparameters!$B$11)</f>
        <v>0</v>
      </c>
      <c r="AH81" s="96">
        <f>IF(AH17&gt;ev_periode_jaar,0,AH80*35.17/31.65/Achtergrondparameters!$B$11)</f>
        <v>0</v>
      </c>
      <c r="AI81" s="96">
        <f>IF(AI17&gt;ev_periode_jaar,0,AI80*35.17/31.65/Achtergrondparameters!$B$11)</f>
        <v>0</v>
      </c>
      <c r="AJ81" s="96">
        <f>IF(AJ17&gt;ev_periode_jaar,0,AJ80*35.17/31.65/Achtergrondparameters!$B$11)</f>
        <v>0</v>
      </c>
      <c r="AK81" s="96">
        <f>IF(AK17&gt;ev_periode_jaar,0,AK80*35.17/31.65/Achtergrondparameters!$B$11)</f>
        <v>0</v>
      </c>
    </row>
    <row r="82" spans="1:37" s="21" customFormat="1" ht="14.25" customHeight="1" x14ac:dyDescent="0.3">
      <c r="A82" s="98" t="s">
        <v>224</v>
      </c>
      <c r="B82" s="99"/>
      <c r="C82" s="20" t="s">
        <v>64</v>
      </c>
      <c r="H82" s="100">
        <f t="shared" ref="H82:AK82" si="22">IF(H17&gt;ev_periode_jaar,0,IFERROR((H22*H25)*H81,0))</f>
        <v>3046214.6392838336</v>
      </c>
      <c r="I82" s="100">
        <f t="shared" si="22"/>
        <v>3069209.4112690892</v>
      </c>
      <c r="J82" s="100">
        <f t="shared" si="22"/>
        <v>3092664.0786940493</v>
      </c>
      <c r="K82" s="100">
        <f t="shared" si="22"/>
        <v>3116587.8394675096</v>
      </c>
      <c r="L82" s="100">
        <f t="shared" si="22"/>
        <v>3140990.0754564391</v>
      </c>
      <c r="M82" s="100">
        <f t="shared" si="22"/>
        <v>3165880.3561651465</v>
      </c>
      <c r="N82" s="100">
        <f t="shared" si="22"/>
        <v>3191268.4424880273</v>
      </c>
      <c r="O82" s="100">
        <f t="shared" si="22"/>
        <v>3217164.2905373666</v>
      </c>
      <c r="P82" s="100">
        <f t="shared" si="22"/>
        <v>3243578.0555476933</v>
      </c>
      <c r="Q82" s="100">
        <f t="shared" si="22"/>
        <v>3270520.0958582251</v>
      </c>
      <c r="R82" s="100">
        <f t="shared" si="22"/>
        <v>3298000.9769749688</v>
      </c>
      <c r="S82" s="100">
        <f t="shared" si="22"/>
        <v>3326031.4757140465</v>
      </c>
      <c r="T82" s="100">
        <f t="shared" si="22"/>
        <v>3354622.5844279067</v>
      </c>
      <c r="U82" s="100">
        <f t="shared" si="22"/>
        <v>3383785.5153160435</v>
      </c>
      <c r="V82" s="100">
        <f t="shared" si="22"/>
        <v>3413531.7048219428</v>
      </c>
      <c r="W82" s="132">
        <f t="shared" si="22"/>
        <v>0</v>
      </c>
      <c r="X82" s="132">
        <f t="shared" si="22"/>
        <v>0</v>
      </c>
      <c r="Y82" s="132">
        <f t="shared" si="22"/>
        <v>0</v>
      </c>
      <c r="Z82" s="132">
        <f t="shared" si="22"/>
        <v>0</v>
      </c>
      <c r="AA82" s="132">
        <f t="shared" si="22"/>
        <v>0</v>
      </c>
      <c r="AB82" s="132">
        <f t="shared" si="22"/>
        <v>0</v>
      </c>
      <c r="AC82" s="132">
        <f t="shared" si="22"/>
        <v>0</v>
      </c>
      <c r="AD82" s="132">
        <f t="shared" si="22"/>
        <v>0</v>
      </c>
      <c r="AE82" s="132">
        <f t="shared" si="22"/>
        <v>0</v>
      </c>
      <c r="AF82" s="132">
        <f t="shared" si="22"/>
        <v>0</v>
      </c>
      <c r="AG82" s="132">
        <f t="shared" si="22"/>
        <v>0</v>
      </c>
      <c r="AH82" s="132">
        <f t="shared" si="22"/>
        <v>0</v>
      </c>
      <c r="AI82" s="132">
        <f t="shared" si="22"/>
        <v>0</v>
      </c>
      <c r="AJ82" s="132">
        <f t="shared" si="22"/>
        <v>0</v>
      </c>
      <c r="AK82" s="132">
        <f t="shared" si="22"/>
        <v>0</v>
      </c>
    </row>
    <row r="83" spans="1:37" s="21" customFormat="1" ht="14.25" customHeight="1" x14ac:dyDescent="0.3">
      <c r="A83" s="20"/>
      <c r="B83" s="33"/>
      <c r="H83" s="96"/>
      <c r="J83" s="96"/>
      <c r="K83" s="96"/>
      <c r="L83" s="96"/>
      <c r="M83" s="96"/>
      <c r="N83" s="96"/>
      <c r="O83" s="96"/>
      <c r="P83" s="96"/>
      <c r="Q83" s="96"/>
      <c r="R83" s="96"/>
      <c r="S83" s="96"/>
      <c r="T83" s="96"/>
      <c r="U83" s="96"/>
      <c r="V83" s="96"/>
      <c r="W83" s="96"/>
      <c r="X83" s="96"/>
      <c r="Y83" s="96"/>
      <c r="Z83" s="96"/>
      <c r="AA83" s="96"/>
      <c r="AB83" s="96"/>
      <c r="AC83" s="96"/>
      <c r="AD83" s="96"/>
      <c r="AE83" s="96"/>
      <c r="AF83" s="96"/>
      <c r="AG83" s="96"/>
      <c r="AH83" s="96"/>
      <c r="AI83" s="96"/>
      <c r="AJ83" s="96"/>
      <c r="AK83" s="96"/>
    </row>
    <row r="84" spans="1:37" s="21" customFormat="1" ht="14.25" customHeight="1" x14ac:dyDescent="0.3">
      <c r="A84" s="240" t="s">
        <v>214</v>
      </c>
      <c r="B84" s="176"/>
      <c r="C84" s="177"/>
      <c r="D84" s="177"/>
      <c r="E84" s="177"/>
      <c r="F84" s="177"/>
      <c r="G84" s="177"/>
      <c r="H84" s="184"/>
      <c r="I84" s="96"/>
      <c r="J84" s="184"/>
      <c r="K84" s="184"/>
      <c r="L84" s="184"/>
      <c r="M84" s="184"/>
      <c r="N84" s="184"/>
      <c r="O84" s="184"/>
      <c r="P84" s="184"/>
      <c r="Q84" s="184"/>
      <c r="R84" s="184"/>
      <c r="S84" s="184"/>
      <c r="T84" s="184"/>
      <c r="U84" s="184"/>
      <c r="V84" s="184"/>
      <c r="W84" s="184"/>
      <c r="X84" s="184"/>
      <c r="Y84" s="184"/>
      <c r="Z84" s="184"/>
      <c r="AA84" s="184"/>
      <c r="AB84" s="184"/>
      <c r="AC84" s="184"/>
      <c r="AD84" s="184"/>
      <c r="AE84" s="184"/>
      <c r="AF84" s="184"/>
      <c r="AG84" s="184"/>
      <c r="AH84" s="184"/>
      <c r="AI84" s="184"/>
      <c r="AJ84" s="184"/>
      <c r="AK84" s="184"/>
    </row>
    <row r="85" spans="1:37" s="277" customFormat="1" ht="14.25" customHeight="1" x14ac:dyDescent="0.3">
      <c r="A85" s="187" t="s">
        <v>220</v>
      </c>
      <c r="B85" s="181"/>
      <c r="C85" s="177" t="s">
        <v>225</v>
      </c>
      <c r="D85" s="182"/>
      <c r="E85" s="182"/>
      <c r="F85" s="182"/>
      <c r="G85" s="182"/>
      <c r="H85" s="185">
        <f>IF(H17&gt;ev_periode_jaar,0,Achtergrondparameters!C41)</f>
        <v>2.4E-2</v>
      </c>
      <c r="I85" s="186">
        <f>IF(I17&gt;ev_periode_jaar,0,Achtergrondparameters!D41)</f>
        <v>2.4E-2</v>
      </c>
      <c r="J85" s="186">
        <f>IF(J17&gt;ev_periode_jaar,0,Achtergrondparameters!E41)</f>
        <v>2.4E-2</v>
      </c>
      <c r="K85" s="186">
        <f>IF(K17&gt;ev_periode_jaar,0,Achtergrondparameters!F41)</f>
        <v>2.4E-2</v>
      </c>
      <c r="L85" s="186">
        <f>IF(L17&gt;ev_periode_jaar,0,Achtergrondparameters!G41)</f>
        <v>2.4E-2</v>
      </c>
      <c r="M85" s="186">
        <f>IF(M17&gt;ev_periode_jaar,0,Achtergrondparameters!H41)</f>
        <v>2.4E-2</v>
      </c>
      <c r="N85" s="186">
        <f>IF(N17&gt;ev_periode_jaar,0,Achtergrondparameters!I41)</f>
        <v>2.4E-2</v>
      </c>
      <c r="O85" s="186">
        <f>IF(O17&gt;ev_periode_jaar,0,Achtergrondparameters!J41)</f>
        <v>2.4E-2</v>
      </c>
      <c r="P85" s="186">
        <f>IF(P17&gt;ev_periode_jaar,0,Achtergrondparameters!K41)</f>
        <v>2.4E-2</v>
      </c>
      <c r="Q85" s="186">
        <f>IF(Q17&gt;ev_periode_jaar,0,Achtergrondparameters!L41)</f>
        <v>2.4E-2</v>
      </c>
      <c r="R85" s="186">
        <f>IF(R17&gt;ev_periode_jaar,0,Achtergrondparameters!M41)</f>
        <v>2.4E-2</v>
      </c>
      <c r="S85" s="186">
        <f>IF(S17&gt;ev_periode_jaar,0,Achtergrondparameters!N41)</f>
        <v>2.4E-2</v>
      </c>
      <c r="T85" s="186">
        <f>IF(T17&gt;ev_periode_jaar,0,Achtergrondparameters!O41)</f>
        <v>2.4E-2</v>
      </c>
      <c r="U85" s="186">
        <f>IF(U17&gt;ev_periode_jaar,0,Achtergrondparameters!P41)</f>
        <v>2.4E-2</v>
      </c>
      <c r="V85" s="186">
        <f>IF(V17&gt;ev_periode_jaar,0,Achtergrondparameters!Q41)</f>
        <v>2.4E-2</v>
      </c>
      <c r="W85" s="186">
        <f>IF(W17&gt;ev_periode_jaar,0,Achtergrondparameters!R41)</f>
        <v>0</v>
      </c>
      <c r="X85" s="186">
        <f>IF(X17&gt;ev_periode_jaar,0,Achtergrondparameters!S41)</f>
        <v>0</v>
      </c>
      <c r="Y85" s="186">
        <f>IF(Y17&gt;ev_periode_jaar,0,Achtergrondparameters!T41)</f>
        <v>0</v>
      </c>
      <c r="Z85" s="186">
        <f>IF(Z17&gt;ev_periode_jaar,0,Achtergrondparameters!U41)</f>
        <v>0</v>
      </c>
      <c r="AA85" s="186">
        <f>IF(AA17&gt;ev_periode_jaar,0,Achtergrondparameters!V41)</f>
        <v>0</v>
      </c>
      <c r="AB85" s="186">
        <f>IF(AB17&gt;ev_periode_jaar,0,Achtergrondparameters!W41)</f>
        <v>0</v>
      </c>
      <c r="AC85" s="186">
        <f>IF(AC17&gt;ev_periode_jaar,0,Achtergrondparameters!X41)</f>
        <v>0</v>
      </c>
      <c r="AD85" s="186">
        <f>IF(AD17&gt;ev_periode_jaar,0,Achtergrondparameters!Y41)</f>
        <v>0</v>
      </c>
      <c r="AE85" s="186">
        <f>IF(AE17&gt;ev_periode_jaar,0,Achtergrondparameters!Z41)</f>
        <v>0</v>
      </c>
      <c r="AF85" s="186">
        <f>IF(AF17&gt;ev_periode_jaar,0,Achtergrondparameters!AA41)</f>
        <v>0</v>
      </c>
      <c r="AG85" s="186">
        <f>IF(AG17&gt;ev_periode_jaar,0,Achtergrondparameters!AB41)</f>
        <v>0</v>
      </c>
      <c r="AH85" s="186">
        <f>IF(AH17&gt;ev_periode_jaar,0,Achtergrondparameters!AC41)</f>
        <v>0</v>
      </c>
      <c r="AI85" s="186">
        <f>IF(AI17&gt;ev_periode_jaar,0,Achtergrondparameters!AD41)</f>
        <v>0</v>
      </c>
      <c r="AJ85" s="186">
        <f>IF(AJ17&gt;ev_periode_jaar,0,Achtergrondparameters!AE41)</f>
        <v>0</v>
      </c>
      <c r="AK85" s="186">
        <f>IF(AK17&gt;ev_periode_jaar,0,Achtergrondparameters!AF41)</f>
        <v>0</v>
      </c>
    </row>
    <row r="86" spans="1:37" s="21" customFormat="1" ht="14.25" customHeight="1" x14ac:dyDescent="0.3">
      <c r="A86" s="199" t="s">
        <v>221</v>
      </c>
      <c r="B86" s="176"/>
      <c r="C86" s="177" t="s">
        <v>225</v>
      </c>
      <c r="D86" s="177"/>
      <c r="E86" s="177"/>
      <c r="F86" s="177"/>
      <c r="G86" s="177"/>
      <c r="H86" s="197">
        <f>IF(H17&gt;ev_periode_jaar,0,Achtergrondparameters!C42)</f>
        <v>1.4999999999999999E-2</v>
      </c>
      <c r="I86" s="184">
        <f>IF(I17&gt;ev_periode_jaar,0,Achtergrondparameters!D42)</f>
        <v>1.5299999999999999E-2</v>
      </c>
      <c r="J86" s="184">
        <f>IF(J17&gt;ev_periode_jaar,0,Achtergrondparameters!E42)</f>
        <v>1.5606E-2</v>
      </c>
      <c r="K86" s="184">
        <f>IF(K17&gt;ev_periode_jaar,0,Achtergrondparameters!F42)</f>
        <v>1.5918120000000001E-2</v>
      </c>
      <c r="L86" s="184">
        <f>IF(L17&gt;ev_periode_jaar,0,Achtergrondparameters!G42)</f>
        <v>1.6236482400000002E-2</v>
      </c>
      <c r="M86" s="184">
        <f>IF(M17&gt;ev_periode_jaar,0,Achtergrondparameters!H42)</f>
        <v>1.6561212048000002E-2</v>
      </c>
      <c r="N86" s="184">
        <f>IF(N17&gt;ev_periode_jaar,0,Achtergrondparameters!I42)</f>
        <v>1.6892436288960002E-2</v>
      </c>
      <c r="O86" s="184">
        <f>IF(O17&gt;ev_periode_jaar,0,Achtergrondparameters!J42)</f>
        <v>1.7230285014739201E-2</v>
      </c>
      <c r="P86" s="184">
        <f>IF(P17&gt;ev_periode_jaar,0,Achtergrondparameters!K42)</f>
        <v>1.7574890715033986E-2</v>
      </c>
      <c r="Q86" s="184">
        <f>IF(Q17&gt;ev_periode_jaar,0,Achtergrondparameters!L42)</f>
        <v>1.7926388529334668E-2</v>
      </c>
      <c r="R86" s="184">
        <f>IF(R17&gt;ev_periode_jaar,0,Achtergrondparameters!M42)</f>
        <v>1.828491629992136E-2</v>
      </c>
      <c r="S86" s="184">
        <f>IF(S17&gt;ev_periode_jaar,0,Achtergrondparameters!N42)</f>
        <v>1.8650614625919788E-2</v>
      </c>
      <c r="T86" s="184">
        <f>IF(T17&gt;ev_periode_jaar,0,Achtergrondparameters!O42)</f>
        <v>1.9023626918438185E-2</v>
      </c>
      <c r="U86" s="184">
        <f>IF(U17&gt;ev_periode_jaar,0,Achtergrondparameters!P42)</f>
        <v>1.9404099456806947E-2</v>
      </c>
      <c r="V86" s="184">
        <f>IF(V17&gt;ev_periode_jaar,0,Achtergrondparameters!Q42)</f>
        <v>1.9792181445943087E-2</v>
      </c>
      <c r="W86" s="184">
        <f>IF(W17&gt;ev_periode_jaar,0,Achtergrondparameters!R42)</f>
        <v>0</v>
      </c>
      <c r="X86" s="184">
        <f>IF(X17&gt;ev_periode_jaar,0,Achtergrondparameters!S42)</f>
        <v>0</v>
      </c>
      <c r="Y86" s="184">
        <f>IF(Y17&gt;ev_periode_jaar,0,Achtergrondparameters!T42)</f>
        <v>0</v>
      </c>
      <c r="Z86" s="184">
        <f>IF(Z17&gt;ev_periode_jaar,0,Achtergrondparameters!U42)</f>
        <v>0</v>
      </c>
      <c r="AA86" s="184">
        <f>IF(AA17&gt;ev_periode_jaar,0,Achtergrondparameters!V42)</f>
        <v>0</v>
      </c>
      <c r="AB86" s="184">
        <f>IF(AB17&gt;ev_periode_jaar,0,Achtergrondparameters!W42)</f>
        <v>0</v>
      </c>
      <c r="AC86" s="184">
        <f>IF(AC17&gt;ev_periode_jaar,0,Achtergrondparameters!X42)</f>
        <v>0</v>
      </c>
      <c r="AD86" s="184">
        <f>IF(AD17&gt;ev_periode_jaar,0,Achtergrondparameters!Y42)</f>
        <v>0</v>
      </c>
      <c r="AE86" s="184">
        <f>IF(AE17&gt;ev_periode_jaar,0,Achtergrondparameters!Z42)</f>
        <v>0</v>
      </c>
      <c r="AF86" s="184">
        <f>IF(AF17&gt;ev_periode_jaar,0,Achtergrondparameters!AA42)</f>
        <v>0</v>
      </c>
      <c r="AG86" s="184">
        <f>IF(AG17&gt;ev_periode_jaar,0,Achtergrondparameters!AB42)</f>
        <v>0</v>
      </c>
      <c r="AH86" s="184">
        <f>IF(AH17&gt;ev_periode_jaar,0,Achtergrondparameters!AC42)</f>
        <v>0</v>
      </c>
      <c r="AI86" s="184">
        <f>IF(AI17&gt;ev_periode_jaar,0,Achtergrondparameters!AD42)</f>
        <v>0</v>
      </c>
      <c r="AJ86" s="184">
        <f>IF(AJ17&gt;ev_periode_jaar,0,Achtergrondparameters!AE42)</f>
        <v>0</v>
      </c>
      <c r="AK86" s="184">
        <f>IF(AK17&gt;ev_periode_jaar,0,Achtergrondparameters!AF42)</f>
        <v>0</v>
      </c>
    </row>
    <row r="87" spans="1:37" s="21" customFormat="1" ht="14.25" customHeight="1" x14ac:dyDescent="0.3">
      <c r="A87" s="177" t="s">
        <v>222</v>
      </c>
      <c r="B87" s="176"/>
      <c r="C87" s="177" t="s">
        <v>225</v>
      </c>
      <c r="D87" s="177"/>
      <c r="E87" s="177"/>
      <c r="F87" s="177"/>
      <c r="G87" s="177"/>
      <c r="H87" s="184">
        <f t="shared" ref="H87:AK87" si="23">IF(H17&gt;ev_periode_jaar,0,H85+H86)</f>
        <v>3.9E-2</v>
      </c>
      <c r="I87" s="184">
        <f t="shared" si="23"/>
        <v>3.9300000000000002E-2</v>
      </c>
      <c r="J87" s="184">
        <f t="shared" si="23"/>
        <v>3.9606000000000002E-2</v>
      </c>
      <c r="K87" s="184">
        <f t="shared" si="23"/>
        <v>3.9918120000000001E-2</v>
      </c>
      <c r="L87" s="184">
        <f t="shared" si="23"/>
        <v>4.0236482400000002E-2</v>
      </c>
      <c r="M87" s="184">
        <f t="shared" si="23"/>
        <v>4.0561212048000006E-2</v>
      </c>
      <c r="N87" s="184">
        <f t="shared" si="23"/>
        <v>4.0892436288959999E-2</v>
      </c>
      <c r="O87" s="184">
        <f t="shared" si="23"/>
        <v>4.1230285014739201E-2</v>
      </c>
      <c r="P87" s="184">
        <f t="shared" si="23"/>
        <v>4.1574890715033987E-2</v>
      </c>
      <c r="Q87" s="184">
        <f t="shared" si="23"/>
        <v>4.1926388529334668E-2</v>
      </c>
      <c r="R87" s="184">
        <f t="shared" si="23"/>
        <v>4.2284916299921357E-2</v>
      </c>
      <c r="S87" s="184">
        <f t="shared" si="23"/>
        <v>4.2650614625919792E-2</v>
      </c>
      <c r="T87" s="184">
        <f t="shared" si="23"/>
        <v>4.3023626918438182E-2</v>
      </c>
      <c r="U87" s="184">
        <f t="shared" si="23"/>
        <v>4.3404099456806948E-2</v>
      </c>
      <c r="V87" s="184">
        <f t="shared" si="23"/>
        <v>4.3792181445943087E-2</v>
      </c>
      <c r="W87" s="184">
        <f t="shared" si="23"/>
        <v>0</v>
      </c>
      <c r="X87" s="184">
        <f t="shared" si="23"/>
        <v>0</v>
      </c>
      <c r="Y87" s="184">
        <f t="shared" si="23"/>
        <v>0</v>
      </c>
      <c r="Z87" s="184">
        <f t="shared" si="23"/>
        <v>0</v>
      </c>
      <c r="AA87" s="184">
        <f t="shared" si="23"/>
        <v>0</v>
      </c>
      <c r="AB87" s="184">
        <f t="shared" si="23"/>
        <v>0</v>
      </c>
      <c r="AC87" s="184">
        <f t="shared" si="23"/>
        <v>0</v>
      </c>
      <c r="AD87" s="184">
        <f t="shared" si="23"/>
        <v>0</v>
      </c>
      <c r="AE87" s="184">
        <f t="shared" si="23"/>
        <v>0</v>
      </c>
      <c r="AF87" s="184">
        <f t="shared" si="23"/>
        <v>0</v>
      </c>
      <c r="AG87" s="184">
        <f t="shared" si="23"/>
        <v>0</v>
      </c>
      <c r="AH87" s="184">
        <f t="shared" si="23"/>
        <v>0</v>
      </c>
      <c r="AI87" s="184">
        <f t="shared" si="23"/>
        <v>0</v>
      </c>
      <c r="AJ87" s="184">
        <f t="shared" si="23"/>
        <v>0</v>
      </c>
      <c r="AK87" s="184">
        <f t="shared" si="23"/>
        <v>0</v>
      </c>
    </row>
    <row r="88" spans="1:37" s="21" customFormat="1" ht="14.25" customHeight="1" x14ac:dyDescent="0.3">
      <c r="A88" s="177"/>
      <c r="B88" s="176"/>
      <c r="C88" s="177" t="s">
        <v>223</v>
      </c>
      <c r="D88" s="177"/>
      <c r="E88" s="177"/>
      <c r="F88" s="177"/>
      <c r="G88" s="177"/>
      <c r="H88" s="184">
        <f>IF(H17&gt;ev_periode_jaar,0,H87*35.17/31.65/Achtergrondparameters!$B$11)</f>
        <v>4.8152711953659826E-2</v>
      </c>
      <c r="I88" s="184">
        <f>IF(I17&gt;ev_periode_jaar,0,I87*35.17/31.65/Achtergrondparameters!$B$11)</f>
        <v>4.8523117430226435E-2</v>
      </c>
      <c r="J88" s="184">
        <f>IF(J17&gt;ev_periode_jaar,0,J87*35.17/31.65/Achtergrondparameters!$B$11)</f>
        <v>4.8900931016324388E-2</v>
      </c>
      <c r="K88" s="184">
        <f>IF(K17&gt;ev_periode_jaar,0,K87*35.17/31.65/Achtergrondparameters!$B$11)</f>
        <v>4.928630087414429E-2</v>
      </c>
      <c r="L88" s="184">
        <f>IF(L17&gt;ev_periode_jaar,0,L87*35.17/31.65/Achtergrondparameters!$B$11)</f>
        <v>4.9679378129120599E-2</v>
      </c>
      <c r="M88" s="184">
        <f>IF(M17&gt;ev_periode_jaar,0,M87*35.17/31.65/Achtergrondparameters!$B$11)</f>
        <v>5.0080316929196428E-2</v>
      </c>
      <c r="N88" s="184">
        <f>IF(N17&gt;ev_periode_jaar,0,N87*35.17/31.65/Achtergrondparameters!$B$11)</f>
        <v>5.0489274505273768E-2</v>
      </c>
      <c r="O88" s="184">
        <f>IF(O17&gt;ev_periode_jaar,0,O87*35.17/31.65/Achtergrondparameters!$B$11)</f>
        <v>5.0906411232872664E-2</v>
      </c>
      <c r="P88" s="184">
        <f>IF(P17&gt;ev_periode_jaar,0,P87*35.17/31.65/Achtergrondparameters!$B$11)</f>
        <v>5.1331890695023537E-2</v>
      </c>
      <c r="Q88" s="184">
        <f>IF(Q17&gt;ev_periode_jaar,0,Q87*35.17/31.65/Achtergrondparameters!$B$11)</f>
        <v>5.1765879746417422E-2</v>
      </c>
      <c r="R88" s="184">
        <f>IF(R17&gt;ev_periode_jaar,0,R87*35.17/31.65/Achtergrondparameters!$B$11)</f>
        <v>5.2208548578839192E-2</v>
      </c>
      <c r="S88" s="184">
        <f>IF(S17&gt;ev_periode_jaar,0,S87*35.17/31.65/Achtergrondparameters!$B$11)</f>
        <v>5.2660070787909394E-2</v>
      </c>
      <c r="T88" s="184">
        <f>IF(T17&gt;ev_periode_jaar,0,T87*35.17/31.65/Achtergrondparameters!$B$11)</f>
        <v>5.3120623441160995E-2</v>
      </c>
      <c r="U88" s="184">
        <f>IF(U17&gt;ev_periode_jaar,0,U87*35.17/31.65/Achtergrondparameters!$B$11)</f>
        <v>5.3590387147477637E-2</v>
      </c>
      <c r="V88" s="184">
        <f>IF(V17&gt;ev_periode_jaar,0,V87*35.17/31.65/Achtergrondparameters!$B$11)</f>
        <v>5.4069546127920608E-2</v>
      </c>
      <c r="W88" s="184">
        <f>IF(W17&gt;ev_periode_jaar,0,W87*35.17/31.65/Achtergrondparameters!$B$11)</f>
        <v>0</v>
      </c>
      <c r="X88" s="184">
        <f>IF(X17&gt;ev_periode_jaar,0,X87*35.17/31.65/Achtergrondparameters!$B$11)</f>
        <v>0</v>
      </c>
      <c r="Y88" s="184">
        <f>IF(Y17&gt;ev_periode_jaar,0,Y87*35.17/31.65/Achtergrondparameters!$B$11)</f>
        <v>0</v>
      </c>
      <c r="Z88" s="184">
        <f>IF(Z17&gt;ev_periode_jaar,0,Z87*35.17/31.65/Achtergrondparameters!$B$11)</f>
        <v>0</v>
      </c>
      <c r="AA88" s="184">
        <f>IF(AA17&gt;ev_periode_jaar,0,AA87*35.17/31.65/Achtergrondparameters!$B$11)</f>
        <v>0</v>
      </c>
      <c r="AB88" s="184">
        <f>IF(AB17&gt;ev_periode_jaar,0,AB87*35.17/31.65/Achtergrondparameters!$B$11)</f>
        <v>0</v>
      </c>
      <c r="AC88" s="184">
        <f>IF(AC17&gt;ev_periode_jaar,0,AC87*35.17/31.65/Achtergrondparameters!$B$11)</f>
        <v>0</v>
      </c>
      <c r="AD88" s="184">
        <f>IF(AD17&gt;ev_periode_jaar,0,AD87*35.17/31.65/Achtergrondparameters!$B$11)</f>
        <v>0</v>
      </c>
      <c r="AE88" s="184">
        <f>IF(AE17&gt;ev_periode_jaar,0,AE87*35.17/31.65/Achtergrondparameters!$B$11)</f>
        <v>0</v>
      </c>
      <c r="AF88" s="184">
        <f>IF(AF17&gt;ev_periode_jaar,0,AF87*35.17/31.65/Achtergrondparameters!$B$11)</f>
        <v>0</v>
      </c>
      <c r="AG88" s="184">
        <f>IF(AG17&gt;ev_periode_jaar,0,AG87*35.17/31.65/Achtergrondparameters!$B$11)</f>
        <v>0</v>
      </c>
      <c r="AH88" s="184">
        <f>IF(AH17&gt;ev_periode_jaar,0,AH87*35.17/31.65/Achtergrondparameters!$B$11)</f>
        <v>0</v>
      </c>
      <c r="AI88" s="184">
        <f>IF(AI17&gt;ev_periode_jaar,0,AI87*35.17/31.65/Achtergrondparameters!$B$11)</f>
        <v>0</v>
      </c>
      <c r="AJ88" s="184">
        <f>IF(AJ17&gt;ev_periode_jaar,0,AJ87*35.17/31.65/Achtergrondparameters!$B$11)</f>
        <v>0</v>
      </c>
      <c r="AK88" s="184">
        <f>IF(AK17&gt;ev_periode_jaar,0,AK87*35.17/31.65/Achtergrondparameters!$B$11)</f>
        <v>0</v>
      </c>
    </row>
    <row r="89" spans="1:37" s="21" customFormat="1" ht="14.25" customHeight="1" x14ac:dyDescent="0.3">
      <c r="A89" s="192" t="s">
        <v>224</v>
      </c>
      <c r="B89" s="176"/>
      <c r="C89" s="177" t="s">
        <v>64</v>
      </c>
      <c r="D89" s="177"/>
      <c r="E89" s="177"/>
      <c r="F89" s="177"/>
      <c r="G89" s="177"/>
      <c r="H89" s="195">
        <f t="shared" ref="H89:AK89" si="24">IF(H17&gt;ev_periode_jaar,0,IFERROR((H22*H26)*H88,0))</f>
        <v>2311330.1737756715</v>
      </c>
      <c r="I89" s="333">
        <f t="shared" si="24"/>
        <v>2329109.6366508687</v>
      </c>
      <c r="J89" s="333">
        <f t="shared" si="24"/>
        <v>2347244.6887835707</v>
      </c>
      <c r="K89" s="333">
        <f t="shared" si="24"/>
        <v>2365742.4419589257</v>
      </c>
      <c r="L89" s="333">
        <f t="shared" si="24"/>
        <v>2384610.1501977886</v>
      </c>
      <c r="M89" s="333">
        <f t="shared" si="24"/>
        <v>2403855.2126014284</v>
      </c>
      <c r="N89" s="333">
        <f t="shared" si="24"/>
        <v>2423485.1762531409</v>
      </c>
      <c r="O89" s="333">
        <f t="shared" si="24"/>
        <v>2443507.7391778878</v>
      </c>
      <c r="P89" s="333">
        <f t="shared" si="24"/>
        <v>2463930.7533611297</v>
      </c>
      <c r="Q89" s="333">
        <f t="shared" si="24"/>
        <v>2484762.2278280361</v>
      </c>
      <c r="R89" s="333">
        <f t="shared" si="24"/>
        <v>2506010.3317842814</v>
      </c>
      <c r="S89" s="333">
        <f t="shared" si="24"/>
        <v>2527683.3978196508</v>
      </c>
      <c r="T89" s="333">
        <f t="shared" si="24"/>
        <v>2549789.9251757278</v>
      </c>
      <c r="U89" s="333">
        <f t="shared" si="24"/>
        <v>2572338.5830789264</v>
      </c>
      <c r="V89" s="333">
        <f t="shared" si="24"/>
        <v>2595338.2141401893</v>
      </c>
      <c r="W89" s="333">
        <f t="shared" si="24"/>
        <v>0</v>
      </c>
      <c r="X89" s="333">
        <f t="shared" si="24"/>
        <v>0</v>
      </c>
      <c r="Y89" s="333">
        <f t="shared" si="24"/>
        <v>0</v>
      </c>
      <c r="Z89" s="333">
        <f t="shared" si="24"/>
        <v>0</v>
      </c>
      <c r="AA89" s="333">
        <f t="shared" si="24"/>
        <v>0</v>
      </c>
      <c r="AB89" s="333">
        <f t="shared" si="24"/>
        <v>0</v>
      </c>
      <c r="AC89" s="333">
        <f t="shared" si="24"/>
        <v>0</v>
      </c>
      <c r="AD89" s="333">
        <f t="shared" si="24"/>
        <v>0</v>
      </c>
      <c r="AE89" s="333">
        <f t="shared" si="24"/>
        <v>0</v>
      </c>
      <c r="AF89" s="333">
        <f t="shared" si="24"/>
        <v>0</v>
      </c>
      <c r="AG89" s="333">
        <f t="shared" si="24"/>
        <v>0</v>
      </c>
      <c r="AH89" s="333">
        <f t="shared" si="24"/>
        <v>0</v>
      </c>
      <c r="AI89" s="333">
        <f t="shared" si="24"/>
        <v>0</v>
      </c>
      <c r="AJ89" s="333">
        <f t="shared" si="24"/>
        <v>0</v>
      </c>
      <c r="AK89" s="333">
        <f t="shared" si="24"/>
        <v>0</v>
      </c>
    </row>
    <row r="90" spans="1:37" s="21" customFormat="1" ht="14.25" customHeight="1" x14ac:dyDescent="0.3">
      <c r="A90" s="177"/>
      <c r="B90" s="176"/>
      <c r="C90" s="177"/>
      <c r="D90" s="177"/>
      <c r="E90" s="177"/>
      <c r="F90" s="177"/>
      <c r="G90" s="177"/>
      <c r="H90" s="184"/>
      <c r="I90" s="184"/>
      <c r="J90" s="184"/>
      <c r="K90" s="184"/>
      <c r="L90" s="184"/>
      <c r="M90" s="184"/>
      <c r="N90" s="184"/>
      <c r="O90" s="184"/>
      <c r="P90" s="184"/>
      <c r="Q90" s="184"/>
      <c r="R90" s="184"/>
      <c r="S90" s="184"/>
      <c r="T90" s="184"/>
      <c r="U90" s="184"/>
      <c r="V90" s="184"/>
      <c r="W90" s="184"/>
      <c r="X90" s="184"/>
      <c r="Y90" s="184"/>
      <c r="Z90" s="184"/>
      <c r="AA90" s="184"/>
      <c r="AB90" s="184"/>
      <c r="AC90" s="184"/>
      <c r="AD90" s="184"/>
      <c r="AE90" s="184"/>
      <c r="AF90" s="184"/>
      <c r="AG90" s="184"/>
      <c r="AH90" s="184"/>
      <c r="AI90" s="184"/>
      <c r="AJ90" s="184"/>
      <c r="AK90" s="184"/>
    </row>
    <row r="91" spans="1:37" s="21" customFormat="1" ht="14.25" customHeight="1" x14ac:dyDescent="0.3">
      <c r="A91" s="240" t="s">
        <v>208</v>
      </c>
      <c r="B91" s="176"/>
      <c r="C91" s="177"/>
      <c r="D91" s="177"/>
      <c r="E91" s="177"/>
      <c r="F91" s="177"/>
      <c r="G91" s="177"/>
      <c r="H91" s="184"/>
      <c r="I91" s="184"/>
      <c r="J91" s="184"/>
      <c r="K91" s="184"/>
      <c r="L91" s="184"/>
      <c r="M91" s="184"/>
      <c r="N91" s="184"/>
      <c r="O91" s="184"/>
      <c r="P91" s="184"/>
      <c r="Q91" s="184"/>
      <c r="R91" s="184"/>
      <c r="S91" s="184"/>
      <c r="T91" s="184"/>
      <c r="U91" s="184"/>
      <c r="V91" s="184"/>
      <c r="W91" s="184"/>
      <c r="X91" s="184"/>
      <c r="Y91" s="184"/>
      <c r="Z91" s="184"/>
      <c r="AA91" s="184"/>
      <c r="AB91" s="184"/>
      <c r="AC91" s="184"/>
      <c r="AD91" s="184"/>
      <c r="AE91" s="184"/>
      <c r="AF91" s="184"/>
      <c r="AG91" s="184"/>
      <c r="AH91" s="184"/>
      <c r="AI91" s="184"/>
      <c r="AJ91" s="184"/>
      <c r="AK91" s="184"/>
    </row>
    <row r="92" spans="1:37" s="177" customFormat="1" ht="14.25" customHeight="1" x14ac:dyDescent="0.3">
      <c r="A92" s="187" t="s">
        <v>226</v>
      </c>
      <c r="B92" s="176"/>
      <c r="C92" s="177" t="s">
        <v>225</v>
      </c>
      <c r="H92" s="185">
        <f>IF(H19&gt;ev_periode_jaar,0,Achtergrondparameters!C54)</f>
        <v>3.2000000000000001E-2</v>
      </c>
      <c r="I92" s="185">
        <f>IF(I19&gt;ev_periode_jaar,0,Achtergrondparameters!D54)</f>
        <v>3.2000000000000001E-2</v>
      </c>
      <c r="J92" s="185">
        <f>IF(J19&gt;ev_periode_jaar,0,Achtergrondparameters!E54)</f>
        <v>3.2000000000000001E-2</v>
      </c>
      <c r="K92" s="185">
        <f>IF(K19&gt;ev_periode_jaar,0,Achtergrondparameters!F54)</f>
        <v>3.2000000000000001E-2</v>
      </c>
      <c r="L92" s="185">
        <f>IF(L19&gt;ev_periode_jaar,0,Achtergrondparameters!G54)</f>
        <v>3.2000000000000001E-2</v>
      </c>
      <c r="M92" s="185">
        <f>IF(M19&gt;ev_periode_jaar,0,Achtergrondparameters!H54)</f>
        <v>3.2000000000000001E-2</v>
      </c>
      <c r="N92" s="185">
        <f>IF(N19&gt;ev_periode_jaar,0,Achtergrondparameters!I54)</f>
        <v>3.2000000000000001E-2</v>
      </c>
      <c r="O92" s="185">
        <f>IF(O19&gt;ev_periode_jaar,0,Achtergrondparameters!J54)</f>
        <v>3.2000000000000001E-2</v>
      </c>
      <c r="P92" s="185">
        <f>IF(P19&gt;ev_periode_jaar,0,Achtergrondparameters!K54)</f>
        <v>3.2000000000000001E-2</v>
      </c>
      <c r="Q92" s="185">
        <f>IF(Q19&gt;ev_periode_jaar,0,Achtergrondparameters!L54)</f>
        <v>3.2000000000000001E-2</v>
      </c>
      <c r="R92" s="185">
        <f>IF(R19&gt;ev_periode_jaar,0,Achtergrondparameters!M54)</f>
        <v>3.2000000000000001E-2</v>
      </c>
      <c r="S92" s="185">
        <f>IF(S19&gt;ev_periode_jaar,0,Achtergrondparameters!N54)</f>
        <v>3.2000000000000001E-2</v>
      </c>
      <c r="T92" s="185">
        <f>IF(T19&gt;ev_periode_jaar,0,Achtergrondparameters!O54)</f>
        <v>3.2000000000000001E-2</v>
      </c>
      <c r="U92" s="185">
        <f>IF(U19&gt;ev_periode_jaar,0,Achtergrondparameters!P54)</f>
        <v>3.2000000000000001E-2</v>
      </c>
      <c r="V92" s="185">
        <f>IF(V19&gt;ev_periode_jaar,0,Achtergrondparameters!Q54)</f>
        <v>3.2000000000000001E-2</v>
      </c>
      <c r="W92" s="185">
        <f>IF(W19&gt;ev_periode_jaar,0,Achtergrondparameters!R54)</f>
        <v>3.2000000000000001E-2</v>
      </c>
      <c r="X92" s="185">
        <f>IF(X19&gt;ev_periode_jaar,0,Achtergrondparameters!S54)</f>
        <v>3.2000000000000001E-2</v>
      </c>
      <c r="Y92" s="185">
        <f>IF(Y19&gt;ev_periode_jaar,0,Achtergrondparameters!T54)</f>
        <v>3.2000000000000001E-2</v>
      </c>
      <c r="Z92" s="185">
        <f>IF(Z19&gt;ev_periode_jaar,0,Achtergrondparameters!U54)</f>
        <v>3.2000000000000001E-2</v>
      </c>
      <c r="AA92" s="185">
        <f>IF(AA19&gt;ev_periode_jaar,0,Achtergrondparameters!V54)</f>
        <v>3.2000000000000001E-2</v>
      </c>
      <c r="AB92" s="185">
        <f>IF(AB19&gt;ev_periode_jaar,0,Achtergrondparameters!W54)</f>
        <v>3.2000000000000001E-2</v>
      </c>
      <c r="AC92" s="185">
        <f>IF(AC19&gt;ev_periode_jaar,0,Achtergrondparameters!X54)</f>
        <v>3.2000000000000001E-2</v>
      </c>
      <c r="AD92" s="185">
        <f>IF(AD19&gt;ev_periode_jaar,0,Achtergrondparameters!Y54)</f>
        <v>3.2000000000000001E-2</v>
      </c>
      <c r="AE92" s="185">
        <f>IF(AE19&gt;ev_periode_jaar,0,Achtergrondparameters!Z54)</f>
        <v>3.2000000000000001E-2</v>
      </c>
      <c r="AF92" s="185">
        <f>IF(AF19&gt;ev_periode_jaar,0,Achtergrondparameters!AA54)</f>
        <v>3.2000000000000001E-2</v>
      </c>
      <c r="AG92" s="185">
        <f>IF(AG19&gt;ev_periode_jaar,0,Achtergrondparameters!AB54)</f>
        <v>3.2000000000000001E-2</v>
      </c>
      <c r="AH92" s="185">
        <f>IF(AH19&gt;ev_periode_jaar,0,Achtergrondparameters!AC54)</f>
        <v>3.2000000000000001E-2</v>
      </c>
      <c r="AI92" s="185">
        <f>IF(AI19&gt;ev_periode_jaar,0,Achtergrondparameters!AD54)</f>
        <v>3.2000000000000001E-2</v>
      </c>
      <c r="AJ92" s="185">
        <f>IF(AJ19&gt;ev_periode_jaar,0,Achtergrondparameters!AE54)</f>
        <v>3.2000000000000001E-2</v>
      </c>
      <c r="AK92" s="185">
        <f>IF(AK19&gt;ev_periode_jaar,0,Achtergrondparameters!AF54)</f>
        <v>3.2000000000000001E-2</v>
      </c>
    </row>
    <row r="93" spans="1:37" s="21" customFormat="1" ht="14.25" customHeight="1" x14ac:dyDescent="0.3">
      <c r="A93" s="199" t="s">
        <v>221</v>
      </c>
      <c r="B93" s="176"/>
      <c r="C93" s="177" t="s">
        <v>225</v>
      </c>
      <c r="D93" s="177"/>
      <c r="E93" s="177"/>
      <c r="F93" s="177"/>
      <c r="G93" s="177"/>
      <c r="H93" s="184">
        <f>IF(H17&gt;ev_periode_jaar,0,Achtergrondparameters!C55)</f>
        <v>1.9399999999999997E-2</v>
      </c>
      <c r="I93" s="184">
        <f>IF(I17&gt;ev_periode_jaar,0,Achtergrondparameters!D55)</f>
        <v>1.9787999999999997E-2</v>
      </c>
      <c r="J93" s="184">
        <f>IF(J17&gt;ev_periode_jaar,0,Achtergrondparameters!E55)</f>
        <v>2.0183759999999999E-2</v>
      </c>
      <c r="K93" s="184">
        <f>IF(K17&gt;ev_periode_jaar,0,Achtergrondparameters!F55)</f>
        <v>2.05874352E-2</v>
      </c>
      <c r="L93" s="184">
        <f>IF(L17&gt;ev_periode_jaar,0,Achtergrondparameters!G55)</f>
        <v>2.0999183904000001E-2</v>
      </c>
      <c r="M93" s="184">
        <f>IF(M17&gt;ev_periode_jaar,0,Achtergrondparameters!H55)</f>
        <v>2.1419167582080002E-2</v>
      </c>
      <c r="N93" s="184">
        <f>IF(N17&gt;ev_periode_jaar,0,Achtergrondparameters!I55)</f>
        <v>2.18475509337216E-2</v>
      </c>
      <c r="O93" s="184">
        <f>IF(O17&gt;ev_periode_jaar,0,Achtergrondparameters!J55)</f>
        <v>2.2284501952396032E-2</v>
      </c>
      <c r="P93" s="184">
        <f>IF(P17&gt;ev_periode_jaar,0,Achtergrondparameters!K55)</f>
        <v>2.2730191991443952E-2</v>
      </c>
      <c r="Q93" s="184">
        <f>IF(Q17&gt;ev_periode_jaar,0,Achtergrondparameters!L55)</f>
        <v>2.3184795831272829E-2</v>
      </c>
      <c r="R93" s="184">
        <f>IF(R17&gt;ev_periode_jaar,0,Achtergrondparameters!M55)</f>
        <v>2.3648491747898286E-2</v>
      </c>
      <c r="S93" s="184">
        <f>IF(S17&gt;ev_periode_jaar,0,Achtergrondparameters!N55)</f>
        <v>2.4121461582856253E-2</v>
      </c>
      <c r="T93" s="184">
        <f>IF(T17&gt;ev_periode_jaar,0,Achtergrondparameters!O55)</f>
        <v>2.460389081451338E-2</v>
      </c>
      <c r="U93" s="184">
        <f>IF(U17&gt;ev_periode_jaar,0,Achtergrondparameters!P55)</f>
        <v>2.5095968630803649E-2</v>
      </c>
      <c r="V93" s="184">
        <f>IF(V17&gt;ev_periode_jaar,0,Achtergrondparameters!Q55)</f>
        <v>2.5597888003419722E-2</v>
      </c>
      <c r="W93" s="184">
        <f>IF(W17&gt;ev_periode_jaar,0,Achtergrondparameters!R55)</f>
        <v>0</v>
      </c>
      <c r="X93" s="184">
        <f>IF(X17&gt;ev_periode_jaar,0,Achtergrondparameters!S55)</f>
        <v>0</v>
      </c>
      <c r="Y93" s="184">
        <f>IF(Y17&gt;ev_periode_jaar,0,Achtergrondparameters!T55)</f>
        <v>0</v>
      </c>
      <c r="Z93" s="184">
        <f>IF(Z17&gt;ev_periode_jaar,0,Achtergrondparameters!U55)</f>
        <v>0</v>
      </c>
      <c r="AA93" s="184">
        <f>IF(AA17&gt;ev_periode_jaar,0,Achtergrondparameters!V55)</f>
        <v>0</v>
      </c>
      <c r="AB93" s="184">
        <f>IF(AB17&gt;ev_periode_jaar,0,Achtergrondparameters!W55)</f>
        <v>0</v>
      </c>
      <c r="AC93" s="184">
        <f>IF(AC17&gt;ev_periode_jaar,0,Achtergrondparameters!X55)</f>
        <v>0</v>
      </c>
      <c r="AD93" s="184">
        <f>IF(AD17&gt;ev_periode_jaar,0,Achtergrondparameters!Y55)</f>
        <v>0</v>
      </c>
      <c r="AE93" s="184">
        <f>IF(AE17&gt;ev_periode_jaar,0,Achtergrondparameters!Z55)</f>
        <v>0</v>
      </c>
      <c r="AF93" s="184">
        <f>IF(AF17&gt;ev_periode_jaar,0,Achtergrondparameters!AA55)</f>
        <v>0</v>
      </c>
      <c r="AG93" s="184">
        <f>IF(AG17&gt;ev_periode_jaar,0,Achtergrondparameters!AB55)</f>
        <v>0</v>
      </c>
      <c r="AH93" s="184">
        <f>IF(AH17&gt;ev_periode_jaar,0,Achtergrondparameters!AC55)</f>
        <v>0</v>
      </c>
      <c r="AI93" s="184">
        <f>IF(AI17&gt;ev_periode_jaar,0,Achtergrondparameters!AD55)</f>
        <v>0</v>
      </c>
      <c r="AJ93" s="184">
        <f>IF(AJ17&gt;ev_periode_jaar,0,Achtergrondparameters!AE55)</f>
        <v>0</v>
      </c>
      <c r="AK93" s="184">
        <f>IF(AK17&gt;ev_periode_jaar,0,Achtergrondparameters!AF55)</f>
        <v>0</v>
      </c>
    </row>
    <row r="94" spans="1:37" s="21" customFormat="1" ht="14.25" customHeight="1" x14ac:dyDescent="0.3">
      <c r="A94" s="177" t="s">
        <v>222</v>
      </c>
      <c r="B94" s="176"/>
      <c r="C94" s="177" t="s">
        <v>225</v>
      </c>
      <c r="D94" s="177"/>
      <c r="E94" s="177"/>
      <c r="F94" s="177"/>
      <c r="G94" s="177"/>
      <c r="H94" s="184">
        <f t="shared" ref="H94:AK94" si="25">IF(H17&gt;ev_periode_jaar,0,H92+H93)</f>
        <v>5.1400000000000001E-2</v>
      </c>
      <c r="I94" s="184">
        <f t="shared" si="25"/>
        <v>5.1788000000000001E-2</v>
      </c>
      <c r="J94" s="184">
        <f t="shared" si="25"/>
        <v>5.2183759999999996E-2</v>
      </c>
      <c r="K94" s="184">
        <f t="shared" si="25"/>
        <v>5.2587435200000004E-2</v>
      </c>
      <c r="L94" s="184">
        <f t="shared" si="25"/>
        <v>5.2999183904000005E-2</v>
      </c>
      <c r="M94" s="184">
        <f t="shared" si="25"/>
        <v>5.3419167582079999E-2</v>
      </c>
      <c r="N94" s="184">
        <f t="shared" si="25"/>
        <v>5.3847550933721601E-2</v>
      </c>
      <c r="O94" s="184">
        <f t="shared" si="25"/>
        <v>5.4284501952396036E-2</v>
      </c>
      <c r="P94" s="184">
        <f t="shared" si="25"/>
        <v>5.4730191991443952E-2</v>
      </c>
      <c r="Q94" s="184">
        <f t="shared" si="25"/>
        <v>5.518479583127283E-2</v>
      </c>
      <c r="R94" s="184">
        <f t="shared" si="25"/>
        <v>5.5648491747898286E-2</v>
      </c>
      <c r="S94" s="184">
        <f t="shared" si="25"/>
        <v>5.6121461582856254E-2</v>
      </c>
      <c r="T94" s="184">
        <f t="shared" si="25"/>
        <v>5.6603890814513377E-2</v>
      </c>
      <c r="U94" s="184">
        <f t="shared" si="25"/>
        <v>5.7095968630803649E-2</v>
      </c>
      <c r="V94" s="184">
        <f t="shared" si="25"/>
        <v>5.7597888003419723E-2</v>
      </c>
      <c r="W94" s="184">
        <f t="shared" si="25"/>
        <v>0</v>
      </c>
      <c r="X94" s="184">
        <f t="shared" si="25"/>
        <v>0</v>
      </c>
      <c r="Y94" s="184">
        <f t="shared" si="25"/>
        <v>0</v>
      </c>
      <c r="Z94" s="184">
        <f t="shared" si="25"/>
        <v>0</v>
      </c>
      <c r="AA94" s="184">
        <f t="shared" si="25"/>
        <v>0</v>
      </c>
      <c r="AB94" s="184">
        <f t="shared" si="25"/>
        <v>0</v>
      </c>
      <c r="AC94" s="184">
        <f t="shared" si="25"/>
        <v>0</v>
      </c>
      <c r="AD94" s="184">
        <f t="shared" si="25"/>
        <v>0</v>
      </c>
      <c r="AE94" s="184">
        <f t="shared" si="25"/>
        <v>0</v>
      </c>
      <c r="AF94" s="184">
        <f t="shared" si="25"/>
        <v>0</v>
      </c>
      <c r="AG94" s="184">
        <f t="shared" si="25"/>
        <v>0</v>
      </c>
      <c r="AH94" s="184">
        <f t="shared" si="25"/>
        <v>0</v>
      </c>
      <c r="AI94" s="184">
        <f t="shared" si="25"/>
        <v>0</v>
      </c>
      <c r="AJ94" s="184">
        <f t="shared" si="25"/>
        <v>0</v>
      </c>
      <c r="AK94" s="184">
        <f t="shared" si="25"/>
        <v>0</v>
      </c>
    </row>
    <row r="95" spans="1:37" s="21" customFormat="1" ht="14.25" customHeight="1" x14ac:dyDescent="0.3">
      <c r="A95" s="177"/>
      <c r="B95" s="176"/>
      <c r="C95" s="177" t="s">
        <v>223</v>
      </c>
      <c r="D95" s="177"/>
      <c r="E95" s="177"/>
      <c r="F95" s="177"/>
      <c r="G95" s="177"/>
      <c r="H95" s="184">
        <f>IF(H17&gt;ev_periode_jaar,0,H94*35.17/31.65/Achtergrondparameters!$B$11)</f>
        <v>6.3462804985079863E-2</v>
      </c>
      <c r="I95" s="184">
        <f>IF(I17&gt;ev_periode_jaar,0,I94*35.17/31.65/Achtergrondparameters!$B$11)</f>
        <v>6.3941862734772689E-2</v>
      </c>
      <c r="J95" s="184">
        <f>IF(J17&gt;ev_periode_jaar,0,J94*35.17/31.65/Achtergrondparameters!$B$11)</f>
        <v>6.4430501639459362E-2</v>
      </c>
      <c r="K95" s="184">
        <f>IF(K17&gt;ev_periode_jaar,0,K94*35.17/31.65/Achtergrondparameters!$B$11)</f>
        <v>6.4928913322239781E-2</v>
      </c>
      <c r="L95" s="184">
        <f>IF(L17&gt;ev_periode_jaar,0,L94*35.17/31.65/Achtergrondparameters!$B$11)</f>
        <v>6.5437293238675809E-2</v>
      </c>
      <c r="M95" s="184">
        <f>IF(M17&gt;ev_periode_jaar,0,M94*35.17/31.65/Achtergrondparameters!$B$11)</f>
        <v>6.5955840753440548E-2</v>
      </c>
      <c r="N95" s="184">
        <f>IF(N17&gt;ev_periode_jaar,0,N94*35.17/31.65/Achtergrondparameters!$B$11)</f>
        <v>6.6484759218500569E-2</v>
      </c>
      <c r="O95" s="184">
        <f>IF(O17&gt;ev_periode_jaar,0,O94*35.17/31.65/Achtergrondparameters!$B$11)</f>
        <v>6.7024256052861803E-2</v>
      </c>
      <c r="P95" s="184">
        <f>IF(P17&gt;ev_periode_jaar,0,P94*35.17/31.65/Achtergrondparameters!$B$11)</f>
        <v>6.7574542823910275E-2</v>
      </c>
      <c r="Q95" s="184">
        <f>IF(Q17&gt;ev_periode_jaar,0,Q94*35.17/31.65/Achtergrondparameters!$B$11)</f>
        <v>6.8135835330379688E-2</v>
      </c>
      <c r="R95" s="184">
        <f>IF(R17&gt;ev_periode_jaar,0,R94*35.17/31.65/Achtergrondparameters!$B$11)</f>
        <v>6.8708353686978516E-2</v>
      </c>
      <c r="S95" s="184">
        <f>IF(S17&gt;ev_periode_jaar,0,S94*35.17/31.65/Achtergrondparameters!$B$11)</f>
        <v>6.9292322410709303E-2</v>
      </c>
      <c r="T95" s="184">
        <f>IF(T17&gt;ev_periode_jaar,0,T94*35.17/31.65/Achtergrondparameters!$B$11)</f>
        <v>6.9887970508914724E-2</v>
      </c>
      <c r="U95" s="184">
        <f>IF(U17&gt;ev_periode_jaar,0,U94*35.17/31.65/Achtergrondparameters!$B$11)</f>
        <v>7.0495531569084238E-2</v>
      </c>
      <c r="V95" s="184">
        <f>IF(V17&gt;ev_periode_jaar,0,V94*35.17/31.65/Achtergrondparameters!$B$11)</f>
        <v>7.1115243850457144E-2</v>
      </c>
      <c r="W95" s="184">
        <f>IF(W17&gt;ev_periode_jaar,0,W94*35.17/31.65/Achtergrondparameters!$B$11)</f>
        <v>0</v>
      </c>
      <c r="X95" s="184">
        <f>IF(X17&gt;ev_periode_jaar,0,X94*35.17/31.65/Achtergrondparameters!$B$11)</f>
        <v>0</v>
      </c>
      <c r="Y95" s="184">
        <f>IF(Y17&gt;ev_periode_jaar,0,Y94*35.17/31.65/Achtergrondparameters!$B$11)</f>
        <v>0</v>
      </c>
      <c r="Z95" s="184">
        <f>IF(Z17&gt;ev_periode_jaar,0,Z94*35.17/31.65/Achtergrondparameters!$B$11)</f>
        <v>0</v>
      </c>
      <c r="AA95" s="184">
        <f>IF(AA17&gt;ev_periode_jaar,0,AA94*35.17/31.65/Achtergrondparameters!$B$11)</f>
        <v>0</v>
      </c>
      <c r="AB95" s="184">
        <f>IF(AB17&gt;ev_periode_jaar,0,AB94*35.17/31.65/Achtergrondparameters!$B$11)</f>
        <v>0</v>
      </c>
      <c r="AC95" s="184">
        <f>IF(AC17&gt;ev_periode_jaar,0,AC94*35.17/31.65/Achtergrondparameters!$B$11)</f>
        <v>0</v>
      </c>
      <c r="AD95" s="184">
        <f>IF(AD17&gt;ev_periode_jaar,0,AD94*35.17/31.65/Achtergrondparameters!$B$11)</f>
        <v>0</v>
      </c>
      <c r="AE95" s="184">
        <f>IF(AE17&gt;ev_periode_jaar,0,AE94*35.17/31.65/Achtergrondparameters!$B$11)</f>
        <v>0</v>
      </c>
      <c r="AF95" s="184">
        <f>IF(AF17&gt;ev_periode_jaar,0,AF94*35.17/31.65/Achtergrondparameters!$B$11)</f>
        <v>0</v>
      </c>
      <c r="AG95" s="184">
        <f>IF(AG17&gt;ev_periode_jaar,0,AG94*35.17/31.65/Achtergrondparameters!$B$11)</f>
        <v>0</v>
      </c>
      <c r="AH95" s="184">
        <f>IF(AH17&gt;ev_periode_jaar,0,AH94*35.17/31.65/Achtergrondparameters!$B$11)</f>
        <v>0</v>
      </c>
      <c r="AI95" s="184">
        <f>IF(AI17&gt;ev_periode_jaar,0,AI94*35.17/31.65/Achtergrondparameters!$B$11)</f>
        <v>0</v>
      </c>
      <c r="AJ95" s="184">
        <f>IF(AJ17&gt;ev_periode_jaar,0,AJ94*35.17/31.65/Achtergrondparameters!$B$11)</f>
        <v>0</v>
      </c>
      <c r="AK95" s="184">
        <f>IF(AK17&gt;ev_periode_jaar,0,AK94*35.17/31.65/Achtergrondparameters!$B$11)</f>
        <v>0</v>
      </c>
    </row>
    <row r="96" spans="1:37" s="21" customFormat="1" ht="14.25" customHeight="1" x14ac:dyDescent="0.3">
      <c r="A96" s="192" t="s">
        <v>224</v>
      </c>
      <c r="B96" s="176"/>
      <c r="C96" s="177" t="s">
        <v>64</v>
      </c>
      <c r="D96" s="177"/>
      <c r="E96" s="177"/>
      <c r="F96" s="177"/>
      <c r="G96" s="177"/>
      <c r="H96" s="244">
        <f t="shared" ref="H96:AK96" si="26">IF(H17&gt;ev_periode_jaar,0,IFERROR((H22*H27)*H95,0))</f>
        <v>3046214.6392838336</v>
      </c>
      <c r="I96" s="244">
        <f t="shared" si="26"/>
        <v>3069209.4112690892</v>
      </c>
      <c r="J96" s="244">
        <f t="shared" si="26"/>
        <v>3092664.0786940493</v>
      </c>
      <c r="K96" s="244">
        <f t="shared" si="26"/>
        <v>3116587.8394675096</v>
      </c>
      <c r="L96" s="244">
        <f t="shared" si="26"/>
        <v>3140990.0754564391</v>
      </c>
      <c r="M96" s="244">
        <f t="shared" si="26"/>
        <v>3165880.3561651465</v>
      </c>
      <c r="N96" s="244">
        <f t="shared" si="26"/>
        <v>3191268.4424880273</v>
      </c>
      <c r="O96" s="244">
        <f t="shared" si="26"/>
        <v>3217164.2905373666</v>
      </c>
      <c r="P96" s="244">
        <f t="shared" si="26"/>
        <v>3243578.0555476933</v>
      </c>
      <c r="Q96" s="244">
        <f t="shared" si="26"/>
        <v>3270520.0958582251</v>
      </c>
      <c r="R96" s="244">
        <f t="shared" si="26"/>
        <v>3298000.9769749688</v>
      </c>
      <c r="S96" s="244">
        <f t="shared" si="26"/>
        <v>3326031.4757140465</v>
      </c>
      <c r="T96" s="244">
        <f t="shared" si="26"/>
        <v>3354622.5844279067</v>
      </c>
      <c r="U96" s="244">
        <f t="shared" si="26"/>
        <v>3383785.5153160435</v>
      </c>
      <c r="V96" s="244">
        <f t="shared" si="26"/>
        <v>3413531.7048219428</v>
      </c>
      <c r="W96" s="244">
        <f t="shared" si="26"/>
        <v>0</v>
      </c>
      <c r="X96" s="244">
        <f t="shared" si="26"/>
        <v>0</v>
      </c>
      <c r="Y96" s="244">
        <f t="shared" si="26"/>
        <v>0</v>
      </c>
      <c r="Z96" s="244">
        <f t="shared" si="26"/>
        <v>0</v>
      </c>
      <c r="AA96" s="244">
        <f t="shared" si="26"/>
        <v>0</v>
      </c>
      <c r="AB96" s="244">
        <f t="shared" si="26"/>
        <v>0</v>
      </c>
      <c r="AC96" s="244">
        <f t="shared" si="26"/>
        <v>0</v>
      </c>
      <c r="AD96" s="244">
        <f t="shared" si="26"/>
        <v>0</v>
      </c>
      <c r="AE96" s="244">
        <f t="shared" si="26"/>
        <v>0</v>
      </c>
      <c r="AF96" s="244">
        <f t="shared" si="26"/>
        <v>0</v>
      </c>
      <c r="AG96" s="244">
        <f t="shared" si="26"/>
        <v>0</v>
      </c>
      <c r="AH96" s="244">
        <f t="shared" si="26"/>
        <v>0</v>
      </c>
      <c r="AI96" s="244">
        <f t="shared" si="26"/>
        <v>0</v>
      </c>
      <c r="AJ96" s="244">
        <f t="shared" si="26"/>
        <v>0</v>
      </c>
      <c r="AK96" s="244">
        <f t="shared" si="26"/>
        <v>0</v>
      </c>
    </row>
    <row r="97" spans="1:37" s="21" customFormat="1" ht="14.25" customHeight="1" x14ac:dyDescent="0.3">
      <c r="B97" s="33"/>
      <c r="H97" s="33"/>
      <c r="I97" s="136"/>
      <c r="J97" s="136"/>
      <c r="K97" s="136"/>
      <c r="L97" s="136"/>
      <c r="M97" s="136"/>
      <c r="N97" s="136"/>
      <c r="O97" s="136"/>
      <c r="P97" s="136"/>
      <c r="Q97" s="136"/>
      <c r="R97" s="83"/>
      <c r="S97" s="83"/>
      <c r="T97" s="83"/>
      <c r="U97" s="83"/>
      <c r="V97" s="83"/>
      <c r="W97" s="83"/>
      <c r="X97" s="83"/>
      <c r="Y97" s="83"/>
      <c r="Z97" s="83"/>
      <c r="AA97" s="83"/>
      <c r="AB97" s="83"/>
      <c r="AC97" s="83"/>
      <c r="AD97" s="83"/>
      <c r="AE97" s="83"/>
      <c r="AF97" s="83"/>
      <c r="AG97" s="83"/>
      <c r="AH97" s="83"/>
      <c r="AI97" s="83"/>
      <c r="AJ97" s="83"/>
      <c r="AK97" s="83"/>
    </row>
    <row r="98" spans="1:37" s="21" customFormat="1" ht="14.25" customHeight="1" x14ac:dyDescent="0.3">
      <c r="A98" s="259" t="s">
        <v>227</v>
      </c>
      <c r="B98" s="33"/>
      <c r="H98" s="33"/>
      <c r="I98" s="136"/>
      <c r="J98" s="136"/>
      <c r="K98" s="136"/>
      <c r="L98" s="136"/>
      <c r="M98" s="136"/>
      <c r="N98" s="136"/>
      <c r="O98" s="136"/>
      <c r="P98" s="136"/>
      <c r="Q98" s="136"/>
      <c r="R98" s="83"/>
      <c r="S98" s="83"/>
      <c r="T98" s="83"/>
      <c r="U98" s="83"/>
      <c r="V98" s="83"/>
      <c r="W98" s="83"/>
      <c r="X98" s="83"/>
      <c r="Y98" s="83"/>
      <c r="Z98" s="83"/>
      <c r="AA98" s="83"/>
      <c r="AB98" s="83"/>
      <c r="AC98" s="83"/>
      <c r="AD98" s="83"/>
      <c r="AE98" s="83"/>
      <c r="AF98" s="83"/>
      <c r="AG98" s="83"/>
      <c r="AH98" s="83"/>
      <c r="AI98" s="83"/>
      <c r="AJ98" s="83"/>
      <c r="AK98" s="83"/>
    </row>
    <row r="99" spans="1:37" s="11" customFormat="1" ht="14.25" customHeight="1" x14ac:dyDescent="0.4">
      <c r="A99" s="173" t="str">
        <f>IF($B$8="MANUAL","&gt; ETS1/2-prijs","&gt; ETS2-prijs")</f>
        <v>&gt; ETS2-prijs</v>
      </c>
      <c r="B99" s="110"/>
      <c r="C99" s="122" t="s">
        <v>167</v>
      </c>
      <c r="D99" s="122"/>
      <c r="E99" s="122"/>
      <c r="F99" s="122"/>
      <c r="G99" s="109"/>
      <c r="H99" s="30">
        <f>IF(H17&gt;ev_periode_jaar,0,Achtergrondparameters!C27)</f>
        <v>0</v>
      </c>
      <c r="I99" s="30">
        <f>IF(I17&gt;ev_periode_jaar,0,Achtergrondparameters!D27)</f>
        <v>0</v>
      </c>
      <c r="J99" s="30">
        <f>IF(J17&gt;ev_periode_jaar,0,Achtergrondparameters!E27)</f>
        <v>0</v>
      </c>
      <c r="K99" s="30">
        <f>IF(K17&gt;ev_periode_jaar,0,Achtergrondparameters!F27)</f>
        <v>1.3999999999999346E-2</v>
      </c>
      <c r="L99" s="30">
        <f>IF(L17&gt;ev_periode_jaar,0,Achtergrondparameters!G27)</f>
        <v>1.7833333333332924E-2</v>
      </c>
      <c r="M99" s="30">
        <f>IF(M17&gt;ev_periode_jaar,0,Achtergrondparameters!H27)</f>
        <v>2.1666666666666501E-2</v>
      </c>
      <c r="N99" s="30">
        <f>IF(N17&gt;ev_periode_jaar,0,Achtergrondparameters!I27)</f>
        <v>2.5500000000000078E-2</v>
      </c>
      <c r="O99" s="30">
        <f>IF(O17&gt;ev_periode_jaar,0,Achtergrondparameters!J27)</f>
        <v>2.9333333333332767E-2</v>
      </c>
      <c r="P99" s="30">
        <f>IF(P17&gt;ev_periode_jaar,0,Achtergrondparameters!K27)</f>
        <v>3.3166666666666345E-2</v>
      </c>
      <c r="Q99" s="30">
        <f>IF(Q17&gt;ev_periode_jaar,0,Achtergrondparameters!L27)</f>
        <v>3.6999999999999922E-2</v>
      </c>
      <c r="R99" s="30">
        <f>IF(R17&gt;ev_periode_jaar,0,Achtergrondparameters!M27)</f>
        <v>4.0833333333333499E-2</v>
      </c>
      <c r="S99" s="30">
        <f>IF(S17&gt;ev_periode_jaar,0,Achtergrondparameters!N27)</f>
        <v>4.4666666666666188E-2</v>
      </c>
      <c r="T99" s="30">
        <f>IF(T17&gt;ev_periode_jaar,0,Achtergrondparameters!O27)</f>
        <v>4.8499999999999766E-2</v>
      </c>
      <c r="U99" s="30">
        <f>IF(U17&gt;ev_periode_jaar,0,Achtergrondparameters!P27)</f>
        <v>5.2333333333333343E-2</v>
      </c>
      <c r="V99" s="30">
        <f>IF(V17&gt;ev_periode_jaar,0,Achtergrondparameters!Q27)</f>
        <v>5.6166666666666032E-2</v>
      </c>
      <c r="W99" s="30">
        <f>IF(W17&gt;ev_periode_jaar,0,Achtergrondparameters!R27)</f>
        <v>0</v>
      </c>
      <c r="X99" s="30">
        <f>IF(X17&gt;ev_periode_jaar,0,Achtergrondparameters!S27)</f>
        <v>0</v>
      </c>
      <c r="Y99" s="30">
        <f>IF(Y17&gt;ev_periode_jaar,0,Achtergrondparameters!T27)</f>
        <v>0</v>
      </c>
      <c r="Z99" s="30">
        <f>IF(Z17&gt;ev_periode_jaar,0,Achtergrondparameters!U27)</f>
        <v>0</v>
      </c>
      <c r="AA99" s="30">
        <f>IF(AA17&gt;ev_periode_jaar,0,Achtergrondparameters!V27)</f>
        <v>0</v>
      </c>
      <c r="AB99" s="30">
        <f>IF(AB17&gt;ev_periode_jaar,0,Achtergrondparameters!W27)</f>
        <v>0</v>
      </c>
      <c r="AC99" s="30">
        <f>IF(AC17&gt;ev_periode_jaar,0,Achtergrondparameters!X27)</f>
        <v>0</v>
      </c>
      <c r="AD99" s="30">
        <f>IF(AD17&gt;ev_periode_jaar,0,Achtergrondparameters!Y27)</f>
        <v>0</v>
      </c>
      <c r="AE99" s="30">
        <f>IF(AE17&gt;ev_periode_jaar,0,Achtergrondparameters!Z27)</f>
        <v>0</v>
      </c>
      <c r="AF99" s="30">
        <f>IF(AF17&gt;ev_periode_jaar,0,Achtergrondparameters!AA27)</f>
        <v>0</v>
      </c>
      <c r="AG99" s="30">
        <f>IF(AG17&gt;ev_periode_jaar,0,Achtergrondparameters!AB27)</f>
        <v>0</v>
      </c>
      <c r="AH99" s="30">
        <f>IF(AH17&gt;ev_periode_jaar,0,Achtergrondparameters!AC27)</f>
        <v>0</v>
      </c>
      <c r="AI99" s="30">
        <f>IF(AI17&gt;ev_periode_jaar,0,Achtergrondparameters!AD27)</f>
        <v>0</v>
      </c>
      <c r="AJ99" s="30">
        <f>IF(AJ17&gt;ev_periode_jaar,0,Achtergrondparameters!AE27)</f>
        <v>0</v>
      </c>
      <c r="AK99" s="30">
        <f>IF(AK17&gt;ev_periode_jaar,0,Achtergrondparameters!AF27)</f>
        <v>0</v>
      </c>
    </row>
    <row r="100" spans="1:37" s="11" customFormat="1" ht="14.25" customHeight="1" x14ac:dyDescent="0.3">
      <c r="A100" s="109"/>
      <c r="B100" s="110"/>
      <c r="C100" s="122"/>
      <c r="D100" s="122"/>
      <c r="E100" s="122"/>
      <c r="F100" s="122"/>
      <c r="G100" s="109"/>
      <c r="H100" s="30"/>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0"/>
      <c r="AK100" s="30"/>
    </row>
    <row r="101" spans="1:37" s="11" customFormat="1" ht="14.25" customHeight="1" x14ac:dyDescent="0.3">
      <c r="A101" s="239" t="s">
        <v>214</v>
      </c>
      <c r="B101" s="200"/>
      <c r="C101" s="196"/>
      <c r="D101" s="196"/>
      <c r="E101" s="196"/>
      <c r="F101" s="196"/>
      <c r="G101" s="196"/>
      <c r="H101" s="178"/>
      <c r="I101" s="179"/>
      <c r="J101" s="179"/>
      <c r="K101" s="179"/>
      <c r="L101" s="179"/>
      <c r="M101" s="179"/>
      <c r="N101" s="179"/>
      <c r="O101" s="179"/>
      <c r="P101" s="179"/>
      <c r="Q101" s="179"/>
      <c r="R101" s="178"/>
      <c r="S101" s="178"/>
      <c r="T101" s="178"/>
      <c r="U101" s="178"/>
      <c r="V101" s="178"/>
      <c r="W101" s="178"/>
      <c r="X101" s="178"/>
      <c r="Y101" s="178"/>
      <c r="Z101" s="178"/>
      <c r="AA101" s="178"/>
      <c r="AB101" s="178"/>
      <c r="AC101" s="178"/>
      <c r="AD101" s="178"/>
      <c r="AE101" s="178"/>
      <c r="AF101" s="178"/>
      <c r="AG101" s="178"/>
      <c r="AH101" s="178"/>
      <c r="AI101" s="178"/>
      <c r="AJ101" s="178"/>
      <c r="AK101" s="178"/>
    </row>
    <row r="102" spans="1:37" s="11" customFormat="1" ht="14.25" customHeight="1" x14ac:dyDescent="0.4">
      <c r="A102" s="201" t="str">
        <f>IF($B$8="MANUAL","&gt; ETS1/2-prijs","&gt; ETS2-prijs")</f>
        <v>&gt; ETS2-prijs</v>
      </c>
      <c r="B102" s="200"/>
      <c r="C102" s="196" t="s">
        <v>228</v>
      </c>
      <c r="D102" s="196"/>
      <c r="E102" s="196"/>
      <c r="F102" s="196"/>
      <c r="G102" s="196"/>
      <c r="H102" s="189">
        <f>IF(H17&gt;ev_periode_jaar,0,Achtergrondparameters!C43)</f>
        <v>0</v>
      </c>
      <c r="I102" s="189">
        <f>IF(I17&gt;ev_periode_jaar,0,Achtergrondparameters!D43)</f>
        <v>0</v>
      </c>
      <c r="J102" s="189">
        <f>IF(J17&gt;ev_periode_jaar,0,Achtergrondparameters!E43)</f>
        <v>0</v>
      </c>
      <c r="K102" s="189">
        <f>IF(K17&gt;ev_periode_jaar,0,Achtergrondparameters!F43)</f>
        <v>8.0000000000008953E-3</v>
      </c>
      <c r="L102" s="189">
        <f>IF(L17&gt;ev_periode_jaar,0,Achtergrondparameters!G43)</f>
        <v>1.3999999999999346E-2</v>
      </c>
      <c r="M102" s="189">
        <f>IF(M17&gt;ev_periode_jaar,0,Achtergrondparameters!H43)</f>
        <v>0.02</v>
      </c>
      <c r="N102" s="189">
        <f>IF(N17&gt;ev_periode_jaar,0,Achtergrondparameters!I43)</f>
        <v>2.3999999999999133E-2</v>
      </c>
      <c r="O102" s="189">
        <f>IF(O17&gt;ev_periode_jaar,0,Achtergrondparameters!J43)</f>
        <v>2.7999999999998693E-2</v>
      </c>
      <c r="P102" s="189">
        <f>IF(P17&gt;ev_periode_jaar,0,Achtergrondparameters!K43)</f>
        <v>3.1999999999998252E-2</v>
      </c>
      <c r="Q102" s="189">
        <f>IF(Q17&gt;ev_periode_jaar,0,Achtergrondparameters!L43)</f>
        <v>3.5999999999999588E-2</v>
      </c>
      <c r="R102" s="189">
        <f>IF(R17&gt;ev_periode_jaar,0,Achtergrondparameters!M43)</f>
        <v>0.04</v>
      </c>
      <c r="S102" s="189">
        <f>IF(S17&gt;ev_periode_jaar,0,Achtergrondparameters!N43)</f>
        <v>4.4000000000000483E-2</v>
      </c>
      <c r="T102" s="189">
        <f>IF(T17&gt;ev_periode_jaar,0,Achtergrondparameters!O43)</f>
        <v>4.8000000000000043E-2</v>
      </c>
      <c r="U102" s="189">
        <f>IF(U17&gt;ev_periode_jaar,0,Achtergrondparameters!P43)</f>
        <v>5.2000000000001378E-2</v>
      </c>
      <c r="V102" s="189">
        <f>IF(V17&gt;ev_periode_jaar,0,Achtergrondparameters!Q43)</f>
        <v>5.6000000000000938E-2</v>
      </c>
      <c r="W102" s="189">
        <f>IF(W17&gt;ev_periode_jaar,0,Achtergrondparameters!R43)</f>
        <v>0</v>
      </c>
      <c r="X102" s="189">
        <f>IF(X17&gt;ev_periode_jaar,0,Achtergrondparameters!S43)</f>
        <v>0</v>
      </c>
      <c r="Y102" s="189">
        <f>IF(Y17&gt;ev_periode_jaar,0,Achtergrondparameters!T43)</f>
        <v>0</v>
      </c>
      <c r="Z102" s="189">
        <f>IF(Z17&gt;ev_periode_jaar,0,Achtergrondparameters!U43)</f>
        <v>0</v>
      </c>
      <c r="AA102" s="189">
        <f>IF(AA17&gt;ev_periode_jaar,0,Achtergrondparameters!V43)</f>
        <v>0</v>
      </c>
      <c r="AB102" s="189">
        <f>IF(AB17&gt;ev_periode_jaar,0,Achtergrondparameters!W43)</f>
        <v>0</v>
      </c>
      <c r="AC102" s="189">
        <f>IF(AC17&gt;ev_periode_jaar,0,Achtergrondparameters!X43)</f>
        <v>0</v>
      </c>
      <c r="AD102" s="189">
        <f>IF(AD17&gt;ev_periode_jaar,0,Achtergrondparameters!Y43)</f>
        <v>0</v>
      </c>
      <c r="AE102" s="189">
        <f>IF(AE17&gt;ev_periode_jaar,0,Achtergrondparameters!Z43)</f>
        <v>0</v>
      </c>
      <c r="AF102" s="189">
        <f>IF(AF17&gt;ev_periode_jaar,0,Achtergrondparameters!AA43)</f>
        <v>0</v>
      </c>
      <c r="AG102" s="189">
        <f>IF(AG17&gt;ev_periode_jaar,0,Achtergrondparameters!AB43)</f>
        <v>0</v>
      </c>
      <c r="AH102" s="189">
        <f>IF(AH17&gt;ev_periode_jaar,0,Achtergrondparameters!AC43)</f>
        <v>0</v>
      </c>
      <c r="AI102" s="189">
        <f>IF(AI17&gt;ev_periode_jaar,0,Achtergrondparameters!AD43)</f>
        <v>0</v>
      </c>
      <c r="AJ102" s="189">
        <f>IF(AJ17&gt;ev_periode_jaar,0,Achtergrondparameters!AE43)</f>
        <v>0</v>
      </c>
      <c r="AK102" s="189">
        <f>IF(AK17&gt;ev_periode_jaar,0,Achtergrondparameters!AF43)</f>
        <v>0</v>
      </c>
    </row>
    <row r="103" spans="1:37" s="11" customFormat="1" ht="14.25" customHeight="1" x14ac:dyDescent="0.3">
      <c r="A103" s="196"/>
      <c r="B103" s="200"/>
      <c r="C103" s="196"/>
      <c r="D103" s="196"/>
      <c r="E103" s="196"/>
      <c r="F103" s="196"/>
      <c r="G103" s="196"/>
      <c r="H103" s="189"/>
      <c r="I103" s="189"/>
      <c r="J103" s="189"/>
      <c r="K103" s="189"/>
      <c r="L103" s="189"/>
      <c r="M103" s="189"/>
      <c r="N103" s="189"/>
      <c r="O103" s="189"/>
      <c r="P103" s="189"/>
      <c r="Q103" s="189"/>
      <c r="R103" s="189"/>
      <c r="S103" s="189"/>
      <c r="T103" s="189"/>
      <c r="U103" s="189"/>
      <c r="V103" s="189"/>
      <c r="W103" s="189"/>
      <c r="X103" s="189"/>
      <c r="Y103" s="189"/>
      <c r="Z103" s="189"/>
      <c r="AA103" s="189"/>
      <c r="AB103" s="189"/>
      <c r="AC103" s="189"/>
      <c r="AD103" s="189"/>
      <c r="AE103" s="189"/>
      <c r="AF103" s="189"/>
      <c r="AG103" s="189"/>
      <c r="AH103" s="189"/>
      <c r="AI103" s="189"/>
      <c r="AJ103" s="189"/>
      <c r="AK103" s="189"/>
    </row>
    <row r="104" spans="1:37" s="11" customFormat="1" ht="14.25" customHeight="1" x14ac:dyDescent="0.3">
      <c r="A104" s="239" t="s">
        <v>208</v>
      </c>
      <c r="B104" s="200"/>
      <c r="C104" s="196"/>
      <c r="D104" s="196"/>
      <c r="E104" s="196"/>
      <c r="F104" s="196"/>
      <c r="G104" s="196"/>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89"/>
      <c r="AH104" s="189"/>
      <c r="AI104" s="189"/>
      <c r="AJ104" s="189"/>
      <c r="AK104" s="189"/>
    </row>
    <row r="105" spans="1:37" s="11" customFormat="1" ht="14.25" customHeight="1" x14ac:dyDescent="0.4">
      <c r="A105" s="201" t="str">
        <f>IF($B$8="MANUAL","&gt; ETS1/2-prijs","&gt; ETS2-prijs")</f>
        <v>&gt; ETS2-prijs</v>
      </c>
      <c r="B105" s="200"/>
      <c r="C105" s="196" t="s">
        <v>228</v>
      </c>
      <c r="D105" s="196"/>
      <c r="E105" s="196"/>
      <c r="F105" s="196"/>
      <c r="G105" s="196"/>
      <c r="H105" s="189">
        <f>IF(H17&gt;ev_periode_jaar,0,Achtergrondparameters!C56)</f>
        <v>0</v>
      </c>
      <c r="I105" s="189">
        <f>IF(I17&gt;ev_periode_jaar,0,Achtergrondparameters!D56)</f>
        <v>0</v>
      </c>
      <c r="J105" s="189">
        <f>IF(J17&gt;ev_periode_jaar,0,Achtergrondparameters!E56)</f>
        <v>0</v>
      </c>
      <c r="K105" s="189">
        <f>IF(K17&gt;ev_periode_jaar,0,Achtergrondparameters!F56)</f>
        <v>1.3999999999995794E-2</v>
      </c>
      <c r="L105" s="189">
        <f>IF(L17&gt;ev_periode_jaar,0,Achtergrondparameters!G56)</f>
        <v>2.9333333333330103E-2</v>
      </c>
      <c r="M105" s="189">
        <f>IF(M17&gt;ev_periode_jaar,0,Achtergrondparameters!H56)</f>
        <v>4.4666666666664412E-2</v>
      </c>
      <c r="N105" s="189">
        <f>IF(N17&gt;ev_periode_jaar,0,Achtergrondparameters!I56)</f>
        <v>5.9999999999998721E-2</v>
      </c>
      <c r="O105" s="189">
        <f>IF(O17&gt;ev_periode_jaar,0,Achtergrondparameters!J56)</f>
        <v>7.5333333333329477E-2</v>
      </c>
      <c r="P105" s="189">
        <f>IF(P17&gt;ev_periode_jaar,0,Achtergrondparameters!K56)</f>
        <v>9.0666666666663787E-2</v>
      </c>
      <c r="Q105" s="189">
        <f>IF(Q17&gt;ev_periode_jaar,0,Achtergrondparameters!L56)</f>
        <v>0.1059999999999981</v>
      </c>
      <c r="R105" s="189">
        <f>IF(R17&gt;ev_periode_jaar,0,Achtergrondparameters!M56)</f>
        <v>0.1213333333333324</v>
      </c>
      <c r="S105" s="189">
        <f>IF(S17&gt;ev_periode_jaar,0,Achtergrondparameters!N56)</f>
        <v>0.13666666666666316</v>
      </c>
      <c r="T105" s="189">
        <f>IF(T17&gt;ev_periode_jaar,0,Achtergrondparameters!O56)</f>
        <v>0.15199999999999747</v>
      </c>
      <c r="U105" s="189">
        <f>IF(U17&gt;ev_periode_jaar,0,Achtergrondparameters!P56)</f>
        <v>0.16733333333333178</v>
      </c>
      <c r="V105" s="189">
        <f>IF(V17&gt;ev_periode_jaar,0,Achtergrondparameters!Q56)</f>
        <v>0.18266666666666254</v>
      </c>
      <c r="W105" s="189">
        <f>IF(W17&gt;ev_periode_jaar,0,Achtergrondparameters!R56)</f>
        <v>0</v>
      </c>
      <c r="X105" s="189">
        <f>IF(X17&gt;ev_periode_jaar,0,Achtergrondparameters!S56)</f>
        <v>0</v>
      </c>
      <c r="Y105" s="189">
        <f>IF(Y17&gt;ev_periode_jaar,0,Achtergrondparameters!T56)</f>
        <v>0</v>
      </c>
      <c r="Z105" s="189">
        <f>IF(Z17&gt;ev_periode_jaar,0,Achtergrondparameters!U56)</f>
        <v>0</v>
      </c>
      <c r="AA105" s="189">
        <f>IF(AA17&gt;ev_periode_jaar,0,Achtergrondparameters!V56)</f>
        <v>0</v>
      </c>
      <c r="AB105" s="189">
        <f>IF(AB17&gt;ev_periode_jaar,0,Achtergrondparameters!W56)</f>
        <v>0</v>
      </c>
      <c r="AC105" s="189">
        <f>IF(AC17&gt;ev_periode_jaar,0,Achtergrondparameters!X56)</f>
        <v>0</v>
      </c>
      <c r="AD105" s="189">
        <f>IF(AD17&gt;ev_periode_jaar,0,Achtergrondparameters!Y56)</f>
        <v>0</v>
      </c>
      <c r="AE105" s="189">
        <f>IF(AE17&gt;ev_periode_jaar,0,Achtergrondparameters!Z56)</f>
        <v>0</v>
      </c>
      <c r="AF105" s="189">
        <f>IF(AF17&gt;ev_periode_jaar,0,Achtergrondparameters!AA56)</f>
        <v>0</v>
      </c>
      <c r="AG105" s="189">
        <f>IF(AG17&gt;ev_periode_jaar,0,Achtergrondparameters!AB56)</f>
        <v>0</v>
      </c>
      <c r="AH105" s="189">
        <f>IF(AH17&gt;ev_periode_jaar,0,Achtergrondparameters!AC56)</f>
        <v>0</v>
      </c>
      <c r="AI105" s="189">
        <f>IF(AI17&gt;ev_periode_jaar,0,Achtergrondparameters!AD56)</f>
        <v>0</v>
      </c>
      <c r="AJ105" s="189">
        <f>IF(AJ17&gt;ev_periode_jaar,0,Achtergrondparameters!AE56)</f>
        <v>0</v>
      </c>
      <c r="AK105" s="189">
        <f>IF(AK17&gt;ev_periode_jaar,0,Achtergrondparameters!AF56)</f>
        <v>0</v>
      </c>
    </row>
    <row r="106" spans="1:37" s="11" customFormat="1" ht="14.25" customHeight="1" x14ac:dyDescent="0.3">
      <c r="A106" s="109"/>
      <c r="B106" s="110"/>
      <c r="C106" s="122"/>
      <c r="D106" s="122"/>
      <c r="E106" s="122"/>
      <c r="F106" s="122"/>
      <c r="G106" s="109"/>
      <c r="H106" s="30"/>
      <c r="I106" s="30"/>
      <c r="J106" s="30"/>
      <c r="K106" s="30"/>
      <c r="L106" s="30"/>
      <c r="M106" s="30"/>
      <c r="N106" s="30"/>
      <c r="O106" s="30"/>
      <c r="P106" s="30"/>
      <c r="Q106" s="30"/>
      <c r="R106" s="30"/>
      <c r="S106" s="30"/>
      <c r="T106" s="30"/>
      <c r="U106" s="30"/>
      <c r="V106" s="30"/>
      <c r="W106" s="30"/>
      <c r="X106" s="30"/>
      <c r="Y106" s="30"/>
      <c r="Z106" s="30"/>
      <c r="AA106" s="30"/>
      <c r="AB106" s="30"/>
      <c r="AC106" s="30"/>
      <c r="AD106" s="30"/>
      <c r="AE106" s="30"/>
      <c r="AF106" s="30"/>
      <c r="AG106" s="30"/>
      <c r="AH106" s="30"/>
      <c r="AI106" s="30"/>
      <c r="AJ106" s="30"/>
      <c r="AK106" s="30"/>
    </row>
    <row r="107" spans="1:37" s="11" customFormat="1" ht="14.25" customHeight="1" x14ac:dyDescent="0.3">
      <c r="A107" s="260" t="s">
        <v>229</v>
      </c>
      <c r="B107" s="110"/>
      <c r="C107" s="122"/>
      <c r="D107" s="122"/>
      <c r="E107" s="122"/>
      <c r="F107" s="122"/>
      <c r="G107" s="109"/>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0"/>
      <c r="AF107" s="30"/>
      <c r="AG107" s="30"/>
      <c r="AH107" s="30"/>
      <c r="AI107" s="30"/>
      <c r="AJ107" s="30"/>
      <c r="AK107" s="30"/>
    </row>
    <row r="108" spans="1:37" s="21" customFormat="1" ht="14.25" customHeight="1" x14ac:dyDescent="0.3">
      <c r="A108" s="20" t="s">
        <v>230</v>
      </c>
      <c r="B108" s="36">
        <f>DASHBOARD!$C$47</f>
        <v>0</v>
      </c>
      <c r="C108" s="20" t="s">
        <v>172</v>
      </c>
      <c r="D108" s="92"/>
      <c r="E108" s="92"/>
      <c r="F108" s="92"/>
      <c r="G108" s="92"/>
      <c r="H108" s="294">
        <f>$B$108</f>
        <v>0</v>
      </c>
      <c r="I108" s="294">
        <f t="shared" ref="I108:AK108" si="27">$B$108</f>
        <v>0</v>
      </c>
      <c r="J108" s="294">
        <f t="shared" si="27"/>
        <v>0</v>
      </c>
      <c r="K108" s="294">
        <f t="shared" si="27"/>
        <v>0</v>
      </c>
      <c r="L108" s="294">
        <f t="shared" si="27"/>
        <v>0</v>
      </c>
      <c r="M108" s="294">
        <f t="shared" si="27"/>
        <v>0</v>
      </c>
      <c r="N108" s="294">
        <f t="shared" si="27"/>
        <v>0</v>
      </c>
      <c r="O108" s="294">
        <f t="shared" si="27"/>
        <v>0</v>
      </c>
      <c r="P108" s="294">
        <f t="shared" si="27"/>
        <v>0</v>
      </c>
      <c r="Q108" s="294">
        <f t="shared" si="27"/>
        <v>0</v>
      </c>
      <c r="R108" s="294">
        <f t="shared" si="27"/>
        <v>0</v>
      </c>
      <c r="S108" s="294">
        <f t="shared" si="27"/>
        <v>0</v>
      </c>
      <c r="T108" s="294">
        <f t="shared" si="27"/>
        <v>0</v>
      </c>
      <c r="U108" s="294">
        <f t="shared" si="27"/>
        <v>0</v>
      </c>
      <c r="V108" s="294">
        <f t="shared" si="27"/>
        <v>0</v>
      </c>
      <c r="W108" s="294">
        <f t="shared" si="27"/>
        <v>0</v>
      </c>
      <c r="X108" s="294">
        <f t="shared" si="27"/>
        <v>0</v>
      </c>
      <c r="Y108" s="294">
        <f t="shared" si="27"/>
        <v>0</v>
      </c>
      <c r="Z108" s="294">
        <f t="shared" si="27"/>
        <v>0</v>
      </c>
      <c r="AA108" s="294">
        <f t="shared" si="27"/>
        <v>0</v>
      </c>
      <c r="AB108" s="294">
        <f t="shared" si="27"/>
        <v>0</v>
      </c>
      <c r="AC108" s="294">
        <f t="shared" si="27"/>
        <v>0</v>
      </c>
      <c r="AD108" s="294">
        <f t="shared" si="27"/>
        <v>0</v>
      </c>
      <c r="AE108" s="294">
        <f t="shared" si="27"/>
        <v>0</v>
      </c>
      <c r="AF108" s="294">
        <f t="shared" si="27"/>
        <v>0</v>
      </c>
      <c r="AG108" s="294">
        <f t="shared" si="27"/>
        <v>0</v>
      </c>
      <c r="AH108" s="294">
        <f t="shared" si="27"/>
        <v>0</v>
      </c>
      <c r="AI108" s="294">
        <f t="shared" si="27"/>
        <v>0</v>
      </c>
      <c r="AJ108" s="294">
        <f t="shared" si="27"/>
        <v>0</v>
      </c>
      <c r="AK108" s="294">
        <f t="shared" si="27"/>
        <v>0</v>
      </c>
    </row>
    <row r="109" spans="1:37" s="21" customFormat="1" ht="14.25" customHeight="1" x14ac:dyDescent="0.3">
      <c r="A109" s="101" t="s">
        <v>63</v>
      </c>
      <c r="B109" s="36">
        <f>DASHBOARD!$C$48</f>
        <v>0</v>
      </c>
      <c r="C109" s="20" t="s">
        <v>64</v>
      </c>
      <c r="D109" s="297">
        <f>$B$109</f>
        <v>0</v>
      </c>
      <c r="E109" s="297">
        <f t="shared" ref="E109:AK109" si="28">$B$109</f>
        <v>0</v>
      </c>
      <c r="F109" s="297">
        <f t="shared" si="28"/>
        <v>0</v>
      </c>
      <c r="G109" s="297">
        <f t="shared" si="28"/>
        <v>0</v>
      </c>
      <c r="H109" s="297">
        <f t="shared" si="28"/>
        <v>0</v>
      </c>
      <c r="I109" s="297">
        <f t="shared" si="28"/>
        <v>0</v>
      </c>
      <c r="J109" s="297">
        <f t="shared" si="28"/>
        <v>0</v>
      </c>
      <c r="K109" s="297">
        <f t="shared" si="28"/>
        <v>0</v>
      </c>
      <c r="L109" s="297">
        <f t="shared" si="28"/>
        <v>0</v>
      </c>
      <c r="M109" s="297">
        <f t="shared" si="28"/>
        <v>0</v>
      </c>
      <c r="N109" s="297">
        <f t="shared" si="28"/>
        <v>0</v>
      </c>
      <c r="O109" s="297">
        <f t="shared" si="28"/>
        <v>0</v>
      </c>
      <c r="P109" s="297">
        <f t="shared" si="28"/>
        <v>0</v>
      </c>
      <c r="Q109" s="297">
        <f t="shared" si="28"/>
        <v>0</v>
      </c>
      <c r="R109" s="297">
        <f t="shared" si="28"/>
        <v>0</v>
      </c>
      <c r="S109" s="297">
        <f t="shared" si="28"/>
        <v>0</v>
      </c>
      <c r="T109" s="297">
        <f t="shared" si="28"/>
        <v>0</v>
      </c>
      <c r="U109" s="297">
        <f t="shared" si="28"/>
        <v>0</v>
      </c>
      <c r="V109" s="297">
        <f t="shared" si="28"/>
        <v>0</v>
      </c>
      <c r="W109" s="297">
        <f t="shared" si="28"/>
        <v>0</v>
      </c>
      <c r="X109" s="297">
        <f t="shared" si="28"/>
        <v>0</v>
      </c>
      <c r="Y109" s="297">
        <f t="shared" si="28"/>
        <v>0</v>
      </c>
      <c r="Z109" s="297">
        <f t="shared" si="28"/>
        <v>0</v>
      </c>
      <c r="AA109" s="297">
        <f t="shared" si="28"/>
        <v>0</v>
      </c>
      <c r="AB109" s="297">
        <f t="shared" si="28"/>
        <v>0</v>
      </c>
      <c r="AC109" s="297">
        <f t="shared" si="28"/>
        <v>0</v>
      </c>
      <c r="AD109" s="297">
        <f t="shared" si="28"/>
        <v>0</v>
      </c>
      <c r="AE109" s="297">
        <f t="shared" si="28"/>
        <v>0</v>
      </c>
      <c r="AF109" s="297">
        <f t="shared" si="28"/>
        <v>0</v>
      </c>
      <c r="AG109" s="297">
        <f t="shared" si="28"/>
        <v>0</v>
      </c>
      <c r="AH109" s="297">
        <f t="shared" si="28"/>
        <v>0</v>
      </c>
      <c r="AI109" s="297">
        <f t="shared" si="28"/>
        <v>0</v>
      </c>
      <c r="AJ109" s="297">
        <f t="shared" si="28"/>
        <v>0</v>
      </c>
      <c r="AK109" s="297">
        <f t="shared" si="28"/>
        <v>0</v>
      </c>
    </row>
    <row r="110" spans="1:37" s="21" customFormat="1" ht="14.25" customHeight="1" x14ac:dyDescent="0.3">
      <c r="A110" s="20" t="s">
        <v>65</v>
      </c>
      <c r="B110" s="290">
        <f>DASHBOARD!$C$49</f>
        <v>0</v>
      </c>
      <c r="C110" s="102" t="s">
        <v>64</v>
      </c>
      <c r="D110" s="297">
        <f>$B$110</f>
        <v>0</v>
      </c>
      <c r="E110" s="297">
        <f t="shared" ref="E110:AK110" si="29">$B$110</f>
        <v>0</v>
      </c>
      <c r="F110" s="297">
        <f t="shared" si="29"/>
        <v>0</v>
      </c>
      <c r="G110" s="297">
        <f t="shared" si="29"/>
        <v>0</v>
      </c>
      <c r="H110" s="297">
        <f t="shared" si="29"/>
        <v>0</v>
      </c>
      <c r="I110" s="297">
        <f t="shared" si="29"/>
        <v>0</v>
      </c>
      <c r="J110" s="297">
        <f t="shared" si="29"/>
        <v>0</v>
      </c>
      <c r="K110" s="297">
        <f t="shared" si="29"/>
        <v>0</v>
      </c>
      <c r="L110" s="297">
        <f t="shared" si="29"/>
        <v>0</v>
      </c>
      <c r="M110" s="297">
        <f t="shared" si="29"/>
        <v>0</v>
      </c>
      <c r="N110" s="297">
        <f t="shared" si="29"/>
        <v>0</v>
      </c>
      <c r="O110" s="297">
        <f t="shared" si="29"/>
        <v>0</v>
      </c>
      <c r="P110" s="297">
        <f t="shared" si="29"/>
        <v>0</v>
      </c>
      <c r="Q110" s="297">
        <f t="shared" si="29"/>
        <v>0</v>
      </c>
      <c r="R110" s="297">
        <f t="shared" si="29"/>
        <v>0</v>
      </c>
      <c r="S110" s="297">
        <f t="shared" si="29"/>
        <v>0</v>
      </c>
      <c r="T110" s="297">
        <f t="shared" si="29"/>
        <v>0</v>
      </c>
      <c r="U110" s="297">
        <f t="shared" si="29"/>
        <v>0</v>
      </c>
      <c r="V110" s="297">
        <f t="shared" si="29"/>
        <v>0</v>
      </c>
      <c r="W110" s="297">
        <f t="shared" si="29"/>
        <v>0</v>
      </c>
      <c r="X110" s="297">
        <f t="shared" si="29"/>
        <v>0</v>
      </c>
      <c r="Y110" s="297">
        <f t="shared" si="29"/>
        <v>0</v>
      </c>
      <c r="Z110" s="297">
        <f t="shared" si="29"/>
        <v>0</v>
      </c>
      <c r="AA110" s="297">
        <f t="shared" si="29"/>
        <v>0</v>
      </c>
      <c r="AB110" s="297">
        <f t="shared" si="29"/>
        <v>0</v>
      </c>
      <c r="AC110" s="297">
        <f t="shared" si="29"/>
        <v>0</v>
      </c>
      <c r="AD110" s="297">
        <f t="shared" si="29"/>
        <v>0</v>
      </c>
      <c r="AE110" s="297">
        <f t="shared" si="29"/>
        <v>0</v>
      </c>
      <c r="AF110" s="297">
        <f t="shared" si="29"/>
        <v>0</v>
      </c>
      <c r="AG110" s="297">
        <f t="shared" si="29"/>
        <v>0</v>
      </c>
      <c r="AH110" s="297">
        <f t="shared" si="29"/>
        <v>0</v>
      </c>
      <c r="AI110" s="297">
        <f t="shared" si="29"/>
        <v>0</v>
      </c>
      <c r="AJ110" s="297">
        <f t="shared" si="29"/>
        <v>0</v>
      </c>
      <c r="AK110" s="297">
        <f t="shared" si="29"/>
        <v>0</v>
      </c>
    </row>
    <row r="111" spans="1:37" s="21" customFormat="1" ht="14.25" customHeight="1" x14ac:dyDescent="0.3">
      <c r="A111" s="101"/>
      <c r="B111" s="103"/>
      <c r="C111" s="109"/>
      <c r="D111" s="102"/>
      <c r="E111" s="102"/>
      <c r="F111" s="102"/>
      <c r="G111" s="137"/>
      <c r="H111" s="137"/>
      <c r="I111" s="137"/>
      <c r="J111" s="137"/>
      <c r="K111" s="137"/>
      <c r="L111" s="137"/>
      <c r="M111" s="137"/>
      <c r="N111" s="137"/>
      <c r="O111" s="137"/>
      <c r="P111" s="137"/>
      <c r="Q111" s="137"/>
      <c r="R111" s="83"/>
      <c r="S111" s="83"/>
      <c r="T111" s="83"/>
      <c r="U111" s="83"/>
      <c r="V111" s="83"/>
      <c r="W111" s="83"/>
      <c r="X111" s="83"/>
      <c r="Y111" s="83"/>
      <c r="Z111" s="83"/>
      <c r="AA111" s="83"/>
      <c r="AB111" s="83"/>
      <c r="AC111" s="83"/>
      <c r="AD111" s="83"/>
      <c r="AE111" s="83"/>
      <c r="AF111" s="83"/>
      <c r="AG111" s="83"/>
      <c r="AH111" s="83"/>
      <c r="AI111" s="83"/>
      <c r="AJ111" s="83"/>
      <c r="AK111" s="83"/>
    </row>
    <row r="112" spans="1:37" s="21" customFormat="1" ht="14.25" customHeight="1" x14ac:dyDescent="0.3">
      <c r="A112" s="259" t="s">
        <v>231</v>
      </c>
      <c r="B112" s="103"/>
      <c r="C112" s="150"/>
      <c r="D112" s="102"/>
      <c r="E112" s="102"/>
      <c r="F112" s="102"/>
      <c r="G112" s="137"/>
      <c r="H112" s="137"/>
      <c r="I112" s="137"/>
      <c r="J112" s="137"/>
      <c r="K112" s="137"/>
      <c r="L112" s="137"/>
      <c r="M112" s="137"/>
      <c r="N112" s="137"/>
      <c r="O112" s="137"/>
      <c r="P112" s="137"/>
      <c r="Q112" s="137"/>
      <c r="R112" s="83"/>
      <c r="S112" s="83"/>
      <c r="T112" s="83"/>
      <c r="U112" s="83"/>
      <c r="V112" s="83"/>
      <c r="W112" s="83"/>
      <c r="X112" s="83"/>
      <c r="Y112" s="83"/>
      <c r="Z112" s="83"/>
      <c r="AA112" s="83"/>
      <c r="AB112" s="83"/>
      <c r="AC112" s="83"/>
      <c r="AD112" s="83"/>
      <c r="AE112" s="83"/>
      <c r="AF112" s="83"/>
      <c r="AG112" s="83"/>
      <c r="AH112" s="83"/>
      <c r="AI112" s="83"/>
      <c r="AJ112" s="83"/>
      <c r="AK112" s="83"/>
    </row>
    <row r="113" spans="1:37" s="21" customFormat="1" ht="14.25" customHeight="1" x14ac:dyDescent="0.3">
      <c r="A113" s="101" t="s">
        <v>232</v>
      </c>
      <c r="B113" s="75">
        <f>DASHBOARD!C52</f>
        <v>0</v>
      </c>
      <c r="C113" s="20" t="s">
        <v>64</v>
      </c>
      <c r="E113" s="102"/>
      <c r="F113" s="102"/>
      <c r="G113" s="137"/>
      <c r="H113" s="166">
        <f t="shared" ref="H113:AK113" si="30">IF($B$9=1,$B$113,0)</f>
        <v>0</v>
      </c>
      <c r="I113" s="166">
        <f t="shared" si="30"/>
        <v>0</v>
      </c>
      <c r="J113" s="166">
        <f t="shared" si="30"/>
        <v>0</v>
      </c>
      <c r="K113" s="166">
        <f t="shared" si="30"/>
        <v>0</v>
      </c>
      <c r="L113" s="166">
        <f t="shared" si="30"/>
        <v>0</v>
      </c>
      <c r="M113" s="166">
        <f t="shared" si="30"/>
        <v>0</v>
      </c>
      <c r="N113" s="166">
        <f t="shared" si="30"/>
        <v>0</v>
      </c>
      <c r="O113" s="166">
        <f t="shared" si="30"/>
        <v>0</v>
      </c>
      <c r="P113" s="166">
        <f t="shared" si="30"/>
        <v>0</v>
      </c>
      <c r="Q113" s="166">
        <f t="shared" si="30"/>
        <v>0</v>
      </c>
      <c r="R113" s="166">
        <f t="shared" si="30"/>
        <v>0</v>
      </c>
      <c r="S113" s="166">
        <f t="shared" si="30"/>
        <v>0</v>
      </c>
      <c r="T113" s="166">
        <f t="shared" si="30"/>
        <v>0</v>
      </c>
      <c r="U113" s="166">
        <f t="shared" si="30"/>
        <v>0</v>
      </c>
      <c r="V113" s="166">
        <f t="shared" si="30"/>
        <v>0</v>
      </c>
      <c r="W113" s="166">
        <f t="shared" si="30"/>
        <v>0</v>
      </c>
      <c r="X113" s="166">
        <f t="shared" si="30"/>
        <v>0</v>
      </c>
      <c r="Y113" s="166">
        <f t="shared" si="30"/>
        <v>0</v>
      </c>
      <c r="Z113" s="166">
        <f t="shared" si="30"/>
        <v>0</v>
      </c>
      <c r="AA113" s="166">
        <f t="shared" si="30"/>
        <v>0</v>
      </c>
      <c r="AB113" s="166">
        <f t="shared" si="30"/>
        <v>0</v>
      </c>
      <c r="AC113" s="166">
        <f t="shared" si="30"/>
        <v>0</v>
      </c>
      <c r="AD113" s="166">
        <f t="shared" si="30"/>
        <v>0</v>
      </c>
      <c r="AE113" s="166">
        <f t="shared" si="30"/>
        <v>0</v>
      </c>
      <c r="AF113" s="166">
        <f t="shared" si="30"/>
        <v>0</v>
      </c>
      <c r="AG113" s="166">
        <f t="shared" si="30"/>
        <v>0</v>
      </c>
      <c r="AH113" s="166">
        <f t="shared" si="30"/>
        <v>0</v>
      </c>
      <c r="AI113" s="166">
        <f t="shared" si="30"/>
        <v>0</v>
      </c>
      <c r="AJ113" s="166">
        <f t="shared" si="30"/>
        <v>0</v>
      </c>
      <c r="AK113" s="166">
        <f t="shared" si="30"/>
        <v>0</v>
      </c>
    </row>
    <row r="114" spans="1:37" s="21" customFormat="1" ht="14.25" hidden="1" customHeight="1" x14ac:dyDescent="0.3">
      <c r="A114" s="224" t="s">
        <v>233</v>
      </c>
      <c r="B114" s="225"/>
      <c r="C114" s="226" t="s">
        <v>234</v>
      </c>
      <c r="D114" s="102"/>
      <c r="E114" s="102"/>
      <c r="F114" s="102"/>
      <c r="G114" s="137"/>
      <c r="H114" s="166">
        <v>0</v>
      </c>
      <c r="I114" s="166">
        <v>0</v>
      </c>
      <c r="J114" s="166">
        <v>0</v>
      </c>
      <c r="K114" s="166">
        <v>0</v>
      </c>
      <c r="L114" s="166">
        <v>0</v>
      </c>
      <c r="M114" s="166">
        <v>0</v>
      </c>
      <c r="N114" s="166">
        <v>0</v>
      </c>
      <c r="O114" s="166">
        <v>0</v>
      </c>
      <c r="P114" s="166">
        <v>0</v>
      </c>
      <c r="Q114" s="166">
        <v>0</v>
      </c>
      <c r="R114" s="166">
        <v>0</v>
      </c>
      <c r="S114" s="166">
        <v>0</v>
      </c>
      <c r="T114" s="166">
        <v>0</v>
      </c>
      <c r="U114" s="166">
        <v>0</v>
      </c>
      <c r="V114" s="166">
        <v>0</v>
      </c>
      <c r="W114" s="166">
        <v>0</v>
      </c>
      <c r="X114" s="166">
        <v>0</v>
      </c>
      <c r="Y114" s="166">
        <v>0</v>
      </c>
      <c r="Z114" s="166">
        <v>0</v>
      </c>
      <c r="AA114" s="166">
        <v>0</v>
      </c>
      <c r="AB114" s="166">
        <v>0</v>
      </c>
      <c r="AC114" s="166">
        <v>0</v>
      </c>
      <c r="AD114" s="166">
        <v>0</v>
      </c>
      <c r="AE114" s="166">
        <v>0</v>
      </c>
      <c r="AF114" s="166">
        <v>0</v>
      </c>
      <c r="AG114" s="166">
        <v>0</v>
      </c>
      <c r="AH114" s="166">
        <v>0</v>
      </c>
      <c r="AI114" s="166">
        <v>0</v>
      </c>
      <c r="AJ114" s="166">
        <v>0</v>
      </c>
      <c r="AK114" s="166">
        <v>0</v>
      </c>
    </row>
    <row r="115" spans="1:37" s="21" customFormat="1" ht="14.25" customHeight="1" x14ac:dyDescent="0.3">
      <c r="A115" s="101"/>
      <c r="B115" s="103"/>
      <c r="C115" s="102"/>
      <c r="D115" s="102"/>
      <c r="E115" s="102"/>
      <c r="F115" s="102"/>
      <c r="G115" s="137"/>
      <c r="H115" s="137"/>
      <c r="I115" s="137"/>
      <c r="J115" s="137"/>
      <c r="K115" s="137"/>
      <c r="L115" s="137"/>
      <c r="M115" s="137"/>
      <c r="N115" s="137"/>
      <c r="O115" s="137"/>
      <c r="P115" s="137"/>
      <c r="Q115" s="137"/>
      <c r="R115" s="83"/>
      <c r="S115" s="83"/>
      <c r="T115" s="83"/>
      <c r="U115" s="83"/>
      <c r="V115" s="83"/>
      <c r="W115" s="83"/>
      <c r="X115" s="83"/>
      <c r="Y115" s="83"/>
      <c r="Z115" s="83"/>
      <c r="AA115" s="83"/>
      <c r="AB115" s="83"/>
      <c r="AC115" s="83"/>
      <c r="AD115" s="83"/>
      <c r="AE115" s="83"/>
      <c r="AF115" s="83"/>
      <c r="AG115" s="83"/>
      <c r="AH115" s="83"/>
      <c r="AI115" s="83"/>
      <c r="AJ115" s="83"/>
      <c r="AK115" s="83"/>
    </row>
    <row r="116" spans="1:37" s="21" customFormat="1" ht="14.25" customHeight="1" x14ac:dyDescent="0.3">
      <c r="A116" s="331" t="s">
        <v>235</v>
      </c>
      <c r="B116" s="175" t="str">
        <f>IF($B$7="Ja","Waarde","")</f>
        <v/>
      </c>
      <c r="C116" s="87" t="s">
        <v>81</v>
      </c>
      <c r="D116" s="150"/>
      <c r="E116" s="102"/>
      <c r="F116" s="102"/>
      <c r="G116" s="137"/>
      <c r="H116" s="137"/>
      <c r="I116" s="137"/>
      <c r="J116" s="137"/>
      <c r="K116" s="137"/>
      <c r="L116" s="137"/>
      <c r="M116" s="137"/>
      <c r="N116" s="137"/>
      <c r="O116" s="137"/>
      <c r="P116" s="137"/>
      <c r="Q116" s="137"/>
      <c r="R116" s="83"/>
      <c r="S116" s="83"/>
      <c r="T116" s="83"/>
      <c r="U116" s="83"/>
      <c r="V116" s="83"/>
      <c r="W116" s="83"/>
      <c r="X116" s="83"/>
      <c r="Y116" s="83"/>
      <c r="Z116" s="83"/>
      <c r="AA116" s="83"/>
      <c r="AB116" s="83"/>
      <c r="AC116" s="83"/>
      <c r="AD116" s="83"/>
      <c r="AE116" s="83"/>
      <c r="AF116" s="83"/>
      <c r="AG116" s="83"/>
      <c r="AH116" s="83"/>
      <c r="AI116" s="83"/>
      <c r="AJ116" s="83"/>
      <c r="AK116" s="83"/>
    </row>
    <row r="117" spans="1:37" s="21" customFormat="1" ht="14.25" customHeight="1" x14ac:dyDescent="0.3">
      <c r="A117" s="101" t="s">
        <v>43</v>
      </c>
      <c r="B117" s="291">
        <f>IF(B7="Ja",DASHBOARD!$F$32,0)</f>
        <v>0</v>
      </c>
      <c r="C117" s="21" t="s">
        <v>236</v>
      </c>
      <c r="D117" s="150"/>
      <c r="E117" s="102"/>
      <c r="F117" s="102"/>
      <c r="G117" s="137"/>
      <c r="H117" s="137"/>
      <c r="I117" s="137"/>
      <c r="J117" s="137"/>
      <c r="K117" s="137"/>
      <c r="L117" s="137"/>
      <c r="M117" s="137"/>
      <c r="N117" s="137"/>
      <c r="O117" s="137"/>
      <c r="P117" s="137"/>
      <c r="Q117" s="137"/>
      <c r="R117" s="83"/>
      <c r="S117" s="83"/>
      <c r="T117" s="83"/>
      <c r="U117" s="83"/>
      <c r="V117" s="83"/>
      <c r="W117" s="83"/>
      <c r="X117" s="83"/>
      <c r="Y117" s="83"/>
      <c r="Z117" s="83"/>
      <c r="AA117" s="83"/>
      <c r="AB117" s="83"/>
      <c r="AC117" s="83"/>
      <c r="AD117" s="83"/>
      <c r="AE117" s="83"/>
      <c r="AF117" s="83"/>
      <c r="AG117" s="83"/>
      <c r="AH117" s="83"/>
      <c r="AI117" s="83"/>
      <c r="AJ117" s="83"/>
      <c r="AK117" s="83"/>
    </row>
    <row r="118" spans="1:37" s="21" customFormat="1" ht="14.25" customHeight="1" x14ac:dyDescent="0.3">
      <c r="A118" s="101" t="s">
        <v>237</v>
      </c>
      <c r="B118" s="291">
        <f>IF(B7="Ja",DASHBOARD!$F$34,0)</f>
        <v>0</v>
      </c>
      <c r="C118" s="18" t="s">
        <v>116</v>
      </c>
      <c r="D118" s="150"/>
      <c r="E118" s="102"/>
      <c r="F118" s="102"/>
      <c r="G118" s="137"/>
      <c r="H118" s="137"/>
      <c r="I118" s="137"/>
      <c r="J118" s="137"/>
      <c r="K118" s="137"/>
      <c r="L118" s="137"/>
      <c r="M118" s="137"/>
      <c r="N118" s="137"/>
      <c r="O118" s="137"/>
      <c r="P118" s="137"/>
      <c r="Q118" s="137"/>
      <c r="R118" s="83"/>
      <c r="S118" s="83"/>
      <c r="T118" s="83"/>
      <c r="U118" s="83"/>
      <c r="V118" s="83"/>
      <c r="W118" s="83"/>
      <c r="X118" s="83"/>
      <c r="Y118" s="83"/>
      <c r="Z118" s="83"/>
      <c r="AA118" s="83"/>
      <c r="AB118" s="83"/>
      <c r="AC118" s="83"/>
      <c r="AD118" s="83"/>
      <c r="AE118" s="83"/>
      <c r="AF118" s="83"/>
      <c r="AG118" s="83"/>
      <c r="AH118" s="83"/>
      <c r="AI118" s="83"/>
      <c r="AJ118" s="83"/>
      <c r="AK118" s="83"/>
    </row>
    <row r="119" spans="1:37" s="21" customFormat="1" ht="14.25" customHeight="1" x14ac:dyDescent="0.3">
      <c r="A119" s="20" t="s">
        <v>238</v>
      </c>
      <c r="B119" s="292">
        <f>IF(B7="Ja",DASHBOARD!F33/100,0)</f>
        <v>0</v>
      </c>
      <c r="C119" s="18"/>
      <c r="D119" s="150"/>
      <c r="E119" s="102"/>
      <c r="F119" s="102"/>
      <c r="G119" s="137"/>
      <c r="H119" s="137"/>
      <c r="I119" s="137"/>
      <c r="J119" s="137"/>
      <c r="K119" s="137"/>
      <c r="L119" s="137"/>
      <c r="M119" s="137"/>
      <c r="N119" s="137"/>
      <c r="O119" s="137"/>
      <c r="P119" s="137"/>
      <c r="Q119" s="137"/>
      <c r="R119" s="83"/>
      <c r="S119" s="83"/>
      <c r="T119" s="83"/>
      <c r="U119" s="83"/>
      <c r="V119" s="83"/>
      <c r="W119" s="83"/>
      <c r="X119" s="83"/>
      <c r="Y119" s="83"/>
      <c r="Z119" s="83"/>
      <c r="AA119" s="83"/>
      <c r="AB119" s="83"/>
      <c r="AC119" s="83"/>
      <c r="AD119" s="83"/>
      <c r="AE119" s="83"/>
      <c r="AF119" s="83"/>
      <c r="AG119" s="83"/>
      <c r="AH119" s="83"/>
      <c r="AI119" s="83"/>
      <c r="AJ119" s="83"/>
      <c r="AK119" s="83"/>
    </row>
    <row r="120" spans="1:37" s="21" customFormat="1" ht="14.25" customHeight="1" x14ac:dyDescent="0.3">
      <c r="A120" s="20"/>
      <c r="B120" s="20"/>
      <c r="C120" s="18"/>
      <c r="D120" s="150"/>
      <c r="E120" s="102"/>
      <c r="F120" s="102"/>
      <c r="G120" s="137"/>
      <c r="H120" s="137"/>
      <c r="I120" s="137"/>
      <c r="J120" s="137"/>
      <c r="K120" s="137"/>
      <c r="L120" s="137"/>
      <c r="M120" s="137"/>
      <c r="N120" s="137"/>
      <c r="O120" s="137"/>
      <c r="P120" s="137"/>
      <c r="Q120" s="137"/>
      <c r="R120" s="83"/>
      <c r="S120" s="83"/>
      <c r="T120" s="83"/>
      <c r="U120" s="83"/>
      <c r="V120" s="83"/>
      <c r="W120" s="83"/>
      <c r="X120" s="83"/>
      <c r="Y120" s="83"/>
      <c r="Z120" s="83"/>
      <c r="AA120" s="83"/>
      <c r="AB120" s="83"/>
      <c r="AC120" s="83"/>
      <c r="AD120" s="83"/>
      <c r="AE120" s="83"/>
      <c r="AF120" s="83"/>
      <c r="AG120" s="83"/>
      <c r="AH120" s="83"/>
      <c r="AI120" s="83"/>
      <c r="AJ120" s="83"/>
      <c r="AK120" s="83"/>
    </row>
    <row r="121" spans="1:37" s="21" customFormat="1" ht="14.25" customHeight="1" x14ac:dyDescent="0.3">
      <c r="A121" s="87" t="s">
        <v>239</v>
      </c>
      <c r="B121" s="88"/>
      <c r="C121" s="87" t="s">
        <v>81</v>
      </c>
      <c r="D121" s="89"/>
      <c r="E121" s="89"/>
      <c r="F121" s="89"/>
      <c r="G121" s="89"/>
      <c r="H121" s="137"/>
      <c r="I121" s="137"/>
      <c r="J121" s="137"/>
      <c r="K121" s="137"/>
      <c r="L121" s="137"/>
      <c r="M121" s="137"/>
      <c r="N121" s="137"/>
      <c r="O121" s="137"/>
      <c r="P121" s="137"/>
      <c r="Q121" s="137"/>
      <c r="R121" s="83"/>
      <c r="S121" s="83"/>
      <c r="T121" s="83"/>
      <c r="U121" s="83"/>
      <c r="V121" s="83"/>
      <c r="W121" s="83"/>
      <c r="X121" s="83"/>
      <c r="Y121" s="83"/>
      <c r="Z121" s="83"/>
      <c r="AA121" s="83"/>
      <c r="AB121" s="83"/>
      <c r="AC121" s="83"/>
      <c r="AD121" s="83"/>
      <c r="AE121" s="83"/>
      <c r="AF121" s="83"/>
      <c r="AG121" s="83"/>
      <c r="AH121" s="83"/>
      <c r="AI121" s="83"/>
      <c r="AJ121" s="83"/>
      <c r="AK121" s="83"/>
    </row>
    <row r="122" spans="1:37" s="21" customFormat="1" ht="14.25" customHeight="1" x14ac:dyDescent="0.3">
      <c r="A122" s="21" t="s">
        <v>199</v>
      </c>
      <c r="B122" s="92"/>
      <c r="C122" s="21" t="s">
        <v>55</v>
      </c>
      <c r="D122" s="166"/>
      <c r="E122" s="166"/>
      <c r="F122" s="166"/>
      <c r="G122" s="74">
        <f>IF($B$7="Ja",($B$117*$B$119*DASHBOARD!$F$39)+DASHBOARD!$F$40,0)</f>
        <v>0</v>
      </c>
      <c r="H122" s="137"/>
      <c r="I122" s="137"/>
      <c r="J122" s="137"/>
      <c r="K122" s="137"/>
      <c r="L122" s="137"/>
      <c r="M122" s="137"/>
      <c r="N122" s="137"/>
      <c r="O122" s="137"/>
      <c r="P122" s="137"/>
      <c r="Q122" s="137"/>
      <c r="R122" s="83"/>
      <c r="S122" s="83"/>
      <c r="T122" s="83"/>
      <c r="U122" s="83"/>
      <c r="V122" s="83"/>
      <c r="W122" s="83"/>
      <c r="X122" s="83"/>
      <c r="Y122" s="83"/>
      <c r="Z122" s="83"/>
      <c r="AA122" s="83"/>
      <c r="AB122" s="83"/>
      <c r="AC122" s="83"/>
      <c r="AD122" s="83"/>
      <c r="AE122" s="83"/>
      <c r="AF122" s="83"/>
      <c r="AG122" s="83"/>
      <c r="AH122" s="83"/>
      <c r="AI122" s="83"/>
      <c r="AJ122" s="83"/>
      <c r="AK122" s="83"/>
    </row>
    <row r="123" spans="1:37" s="21" customFormat="1" ht="14.25" customHeight="1" x14ac:dyDescent="0.3">
      <c r="A123" s="95" t="s">
        <v>240</v>
      </c>
      <c r="B123" s="334">
        <f>0.05*SUM($D$122:$G$122)</f>
        <v>0</v>
      </c>
      <c r="C123" s="21" t="s">
        <v>64</v>
      </c>
      <c r="D123" s="102"/>
      <c r="E123" s="102"/>
      <c r="F123" s="102"/>
      <c r="G123" s="137"/>
      <c r="H123" s="166">
        <f>IF($B$7="Nee",0,IF(H17&gt;ev_periode_jaar,0,0.05*SUM($D$122:$G$122)))</f>
        <v>0</v>
      </c>
      <c r="I123" s="166">
        <v>0</v>
      </c>
      <c r="J123" s="166">
        <v>0</v>
      </c>
      <c r="K123" s="166">
        <v>0</v>
      </c>
      <c r="L123" s="166">
        <v>0</v>
      </c>
      <c r="M123" s="166">
        <v>0</v>
      </c>
      <c r="N123" s="166">
        <v>0</v>
      </c>
      <c r="O123" s="166">
        <v>0</v>
      </c>
      <c r="P123" s="166">
        <v>0</v>
      </c>
      <c r="Q123" s="166">
        <v>0</v>
      </c>
      <c r="R123" s="166">
        <v>0</v>
      </c>
      <c r="S123" s="166">
        <v>0</v>
      </c>
      <c r="T123" s="166">
        <v>0</v>
      </c>
      <c r="U123" s="166">
        <v>0</v>
      </c>
      <c r="V123" s="166">
        <v>0</v>
      </c>
      <c r="W123" s="166">
        <v>0</v>
      </c>
      <c r="X123" s="166">
        <v>0</v>
      </c>
      <c r="Y123" s="166">
        <v>0</v>
      </c>
      <c r="Z123" s="166">
        <v>0</v>
      </c>
      <c r="AA123" s="166">
        <v>0</v>
      </c>
      <c r="AB123" s="166">
        <v>0</v>
      </c>
      <c r="AC123" s="166">
        <v>0</v>
      </c>
      <c r="AD123" s="166">
        <v>0</v>
      </c>
      <c r="AE123" s="166">
        <v>0</v>
      </c>
      <c r="AF123" s="166">
        <v>0</v>
      </c>
      <c r="AG123" s="166">
        <v>0</v>
      </c>
      <c r="AH123" s="166">
        <v>0</v>
      </c>
      <c r="AI123" s="166">
        <v>0</v>
      </c>
      <c r="AJ123" s="166">
        <v>0</v>
      </c>
      <c r="AK123" s="166">
        <v>0</v>
      </c>
    </row>
    <row r="124" spans="1:37" s="21" customFormat="1" ht="14.25" customHeight="1" x14ac:dyDescent="0.3">
      <c r="A124" s="95" t="s">
        <v>36</v>
      </c>
      <c r="B124" s="334">
        <f>DASHBOARD!$F$43</f>
        <v>0</v>
      </c>
      <c r="C124" s="21" t="s">
        <v>241</v>
      </c>
      <c r="D124" s="102"/>
      <c r="E124" s="102"/>
      <c r="F124" s="102"/>
      <c r="G124" s="137"/>
      <c r="H124" s="166"/>
      <c r="I124" s="166"/>
      <c r="J124" s="166"/>
      <c r="K124" s="166"/>
      <c r="L124" s="166"/>
      <c r="M124" s="166"/>
      <c r="N124" s="166"/>
      <c r="O124" s="166"/>
      <c r="P124" s="166"/>
      <c r="Q124" s="166"/>
      <c r="R124" s="166"/>
      <c r="S124" s="166"/>
      <c r="T124" s="166"/>
      <c r="U124" s="166"/>
      <c r="V124" s="166"/>
      <c r="W124" s="166"/>
      <c r="X124" s="166"/>
      <c r="Y124" s="166"/>
      <c r="Z124" s="166"/>
      <c r="AA124" s="166"/>
      <c r="AB124" s="166"/>
      <c r="AC124" s="166"/>
      <c r="AD124" s="166"/>
      <c r="AE124" s="166"/>
      <c r="AF124" s="166"/>
      <c r="AG124" s="166"/>
      <c r="AH124" s="166"/>
      <c r="AI124" s="166"/>
      <c r="AJ124" s="166"/>
      <c r="AK124" s="166"/>
    </row>
    <row r="125" spans="1:37" s="21" customFormat="1" ht="14.25" customHeight="1" x14ac:dyDescent="0.3">
      <c r="H125" s="83"/>
      <c r="I125" s="83"/>
      <c r="J125" s="83"/>
      <c r="K125" s="83"/>
      <c r="L125" s="83"/>
      <c r="M125" s="83"/>
      <c r="N125" s="83"/>
      <c r="O125" s="83"/>
      <c r="P125" s="83"/>
      <c r="Q125" s="83"/>
      <c r="R125" s="83"/>
      <c r="S125" s="83"/>
      <c r="T125" s="83"/>
      <c r="U125" s="83"/>
      <c r="V125" s="83"/>
      <c r="W125" s="133"/>
      <c r="X125" s="83"/>
      <c r="Y125" s="83"/>
      <c r="Z125" s="83"/>
      <c r="AA125" s="83"/>
      <c r="AB125" s="83"/>
      <c r="AC125" s="83"/>
      <c r="AD125" s="83"/>
      <c r="AE125" s="83"/>
      <c r="AF125" s="83"/>
      <c r="AG125" s="83"/>
      <c r="AH125" s="83"/>
      <c r="AI125" s="83"/>
      <c r="AJ125" s="83"/>
      <c r="AK125" s="83"/>
    </row>
    <row r="126" spans="1:37" s="90" customFormat="1" ht="14.25" customHeight="1" x14ac:dyDescent="0.3">
      <c r="A126" s="87" t="s">
        <v>242</v>
      </c>
      <c r="B126" s="88" t="s">
        <v>122</v>
      </c>
      <c r="C126" s="87" t="s">
        <v>81</v>
      </c>
      <c r="D126" s="21"/>
      <c r="E126" s="89"/>
      <c r="F126" s="89"/>
      <c r="G126" s="89"/>
      <c r="H126" s="89"/>
      <c r="I126" s="89"/>
      <c r="J126" s="89"/>
      <c r="K126" s="89"/>
      <c r="L126" s="89"/>
      <c r="M126" s="89"/>
      <c r="N126" s="89"/>
      <c r="O126" s="89"/>
      <c r="P126" s="89"/>
      <c r="Q126" s="89"/>
      <c r="R126" s="89"/>
      <c r="S126" s="89"/>
      <c r="T126" s="89"/>
      <c r="U126" s="89"/>
      <c r="V126" s="89"/>
      <c r="W126" s="89"/>
      <c r="X126" s="89"/>
      <c r="Y126" s="89"/>
      <c r="Z126" s="89"/>
      <c r="AA126" s="89"/>
      <c r="AB126" s="89"/>
      <c r="AC126" s="89"/>
      <c r="AD126" s="89"/>
      <c r="AE126" s="89"/>
      <c r="AF126" s="89"/>
      <c r="AG126" s="89"/>
      <c r="AH126" s="89"/>
      <c r="AI126" s="89"/>
      <c r="AJ126" s="89"/>
      <c r="AK126" s="89"/>
    </row>
    <row r="127" spans="1:37" s="21" customFormat="1" ht="14.25" customHeight="1" x14ac:dyDescent="0.3">
      <c r="A127" s="21" t="s">
        <v>104</v>
      </c>
      <c r="B127" s="166">
        <f>ev_periode_jaar</f>
        <v>15</v>
      </c>
      <c r="C127" s="21" t="s">
        <v>48</v>
      </c>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row>
    <row r="128" spans="1:37" s="21" customFormat="1" ht="14.25" customHeight="1" x14ac:dyDescent="0.3">
      <c r="A128" s="21" t="s">
        <v>49</v>
      </c>
      <c r="B128" s="74">
        <f>DASHBOARD!$C$35</f>
        <v>10</v>
      </c>
      <c r="C128" s="21" t="s">
        <v>48</v>
      </c>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row>
    <row r="129" spans="1:37" s="21" customFormat="1" ht="14.25" customHeight="1" x14ac:dyDescent="0.3">
      <c r="A129" s="21" t="s">
        <v>94</v>
      </c>
      <c r="B129" s="32">
        <f>Referentieparameters!$B$8</f>
        <v>0.02</v>
      </c>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row>
    <row r="130" spans="1:37" s="21" customFormat="1" ht="14.25" customHeight="1" x14ac:dyDescent="0.3">
      <c r="A130" s="21" t="s">
        <v>243</v>
      </c>
      <c r="B130" s="330">
        <f>DASHBOARD!$C$11</f>
        <v>0.05</v>
      </c>
      <c r="H130" s="83"/>
      <c r="I130" s="137"/>
      <c r="J130" s="137"/>
      <c r="K130" s="137"/>
      <c r="L130" s="137"/>
      <c r="M130" s="137"/>
      <c r="N130" s="137"/>
      <c r="O130" s="137"/>
      <c r="P130" s="137"/>
      <c r="Q130" s="137"/>
      <c r="R130" s="83"/>
      <c r="S130" s="83"/>
      <c r="T130" s="83"/>
      <c r="U130" s="83"/>
      <c r="V130" s="83"/>
      <c r="W130" s="83"/>
      <c r="X130" s="83"/>
      <c r="Y130" s="83"/>
      <c r="Z130" s="83"/>
      <c r="AA130" s="83"/>
      <c r="AB130" s="83"/>
      <c r="AC130" s="83"/>
      <c r="AD130" s="83"/>
      <c r="AE130" s="83"/>
      <c r="AF130" s="83"/>
      <c r="AG130" s="83"/>
      <c r="AH130" s="83"/>
      <c r="AI130" s="83"/>
      <c r="AJ130" s="83"/>
      <c r="AK130" s="83"/>
    </row>
    <row r="131" spans="1:37" s="21" customFormat="1" ht="14.25" customHeight="1" x14ac:dyDescent="0.3">
      <c r="A131" s="21" t="s">
        <v>244</v>
      </c>
      <c r="B131" s="330">
        <f>DASHBOARD!$C$12</f>
        <v>0.02</v>
      </c>
      <c r="C131" s="136"/>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row>
    <row r="132" spans="1:37" s="21" customFormat="1" ht="14.25" customHeight="1" x14ac:dyDescent="0.3">
      <c r="A132" s="21" t="s">
        <v>245</v>
      </c>
      <c r="B132" s="330">
        <f>DASHBOARD!$C$13</f>
        <v>0.57999999999999996</v>
      </c>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row>
    <row r="133" spans="1:37" s="21" customFormat="1" ht="14.25" customHeight="1" x14ac:dyDescent="0.3">
      <c r="A133" s="21" t="s">
        <v>246</v>
      </c>
      <c r="B133" s="32">
        <f>DASHBOARD!$C$14</f>
        <v>0.42000000000000004</v>
      </c>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row>
    <row r="134" spans="1:37" s="21" customFormat="1" ht="14.25" customHeight="1" x14ac:dyDescent="0.3">
      <c r="A134" s="21" t="s">
        <v>25</v>
      </c>
      <c r="B134" s="330">
        <f>DASHBOARD!$C$15</f>
        <v>0.25</v>
      </c>
      <c r="E134" s="33"/>
      <c r="F134" s="33"/>
      <c r="G134" s="99"/>
      <c r="H134" s="321">
        <f t="shared" ref="H134:AK134" si="31">IF(H17&gt;ev_periode_jaar,0,$B$134)</f>
        <v>0.25</v>
      </c>
      <c r="I134" s="321">
        <f t="shared" si="31"/>
        <v>0.25</v>
      </c>
      <c r="J134" s="321">
        <f t="shared" si="31"/>
        <v>0.25</v>
      </c>
      <c r="K134" s="321">
        <f t="shared" si="31"/>
        <v>0.25</v>
      </c>
      <c r="L134" s="321">
        <f t="shared" si="31"/>
        <v>0.25</v>
      </c>
      <c r="M134" s="321">
        <f t="shared" si="31"/>
        <v>0.25</v>
      </c>
      <c r="N134" s="321">
        <f t="shared" si="31"/>
        <v>0.25</v>
      </c>
      <c r="O134" s="321">
        <f t="shared" si="31"/>
        <v>0.25</v>
      </c>
      <c r="P134" s="321">
        <f t="shared" si="31"/>
        <v>0.25</v>
      </c>
      <c r="Q134" s="321">
        <f t="shared" si="31"/>
        <v>0.25</v>
      </c>
      <c r="R134" s="321">
        <f t="shared" si="31"/>
        <v>0.25</v>
      </c>
      <c r="S134" s="321">
        <f t="shared" si="31"/>
        <v>0.25</v>
      </c>
      <c r="T134" s="321">
        <f t="shared" si="31"/>
        <v>0.25</v>
      </c>
      <c r="U134" s="321">
        <f t="shared" si="31"/>
        <v>0.25</v>
      </c>
      <c r="V134" s="321">
        <f t="shared" si="31"/>
        <v>0.25</v>
      </c>
      <c r="W134" s="321">
        <f t="shared" si="31"/>
        <v>0</v>
      </c>
      <c r="X134" s="321">
        <f t="shared" si="31"/>
        <v>0</v>
      </c>
      <c r="Y134" s="321">
        <f t="shared" si="31"/>
        <v>0</v>
      </c>
      <c r="Z134" s="321">
        <f t="shared" si="31"/>
        <v>0</v>
      </c>
      <c r="AA134" s="321">
        <f t="shared" si="31"/>
        <v>0</v>
      </c>
      <c r="AB134" s="321">
        <f t="shared" si="31"/>
        <v>0</v>
      </c>
      <c r="AC134" s="321">
        <f t="shared" si="31"/>
        <v>0</v>
      </c>
      <c r="AD134" s="321">
        <f t="shared" si="31"/>
        <v>0</v>
      </c>
      <c r="AE134" s="321">
        <f t="shared" si="31"/>
        <v>0</v>
      </c>
      <c r="AF134" s="321">
        <f t="shared" si="31"/>
        <v>0</v>
      </c>
      <c r="AG134" s="321">
        <f t="shared" si="31"/>
        <v>0</v>
      </c>
      <c r="AH134" s="321">
        <f t="shared" si="31"/>
        <v>0</v>
      </c>
      <c r="AI134" s="321">
        <f t="shared" si="31"/>
        <v>0</v>
      </c>
      <c r="AJ134" s="321">
        <f t="shared" si="31"/>
        <v>0</v>
      </c>
      <c r="AK134" s="321">
        <f t="shared" si="31"/>
        <v>0</v>
      </c>
    </row>
    <row r="135" spans="1:37" s="21" customFormat="1" ht="14.25" customHeight="1" x14ac:dyDescent="0.3">
      <c r="A135" s="21" t="s">
        <v>247</v>
      </c>
      <c r="B135" s="32">
        <f>($B$133*$B$131)+(($B$132*$B$130)*(1-B134))</f>
        <v>3.015E-2</v>
      </c>
      <c r="D135" s="32">
        <f>E135</f>
        <v>3.015E-2</v>
      </c>
      <c r="E135" s="32">
        <f>F135</f>
        <v>3.015E-2</v>
      </c>
      <c r="F135" s="32">
        <f>G135</f>
        <v>3.015E-2</v>
      </c>
      <c r="G135" s="104">
        <f>H135</f>
        <v>3.015E-2</v>
      </c>
      <c r="H135" s="104">
        <f t="shared" ref="H135:AK135" si="32">IF(H17&gt;ev_periode_jaar,0,($B$133*$B$131)+(($B$132*$B$130)*(1-H134)))</f>
        <v>3.015E-2</v>
      </c>
      <c r="I135" s="104">
        <f t="shared" si="32"/>
        <v>3.015E-2</v>
      </c>
      <c r="J135" s="104">
        <f t="shared" si="32"/>
        <v>3.015E-2</v>
      </c>
      <c r="K135" s="104">
        <f t="shared" si="32"/>
        <v>3.015E-2</v>
      </c>
      <c r="L135" s="104">
        <f t="shared" si="32"/>
        <v>3.015E-2</v>
      </c>
      <c r="M135" s="104">
        <f t="shared" si="32"/>
        <v>3.015E-2</v>
      </c>
      <c r="N135" s="104">
        <f t="shared" si="32"/>
        <v>3.015E-2</v>
      </c>
      <c r="O135" s="104">
        <f t="shared" si="32"/>
        <v>3.015E-2</v>
      </c>
      <c r="P135" s="104">
        <f t="shared" si="32"/>
        <v>3.015E-2</v>
      </c>
      <c r="Q135" s="104">
        <f t="shared" si="32"/>
        <v>3.015E-2</v>
      </c>
      <c r="R135" s="104">
        <f t="shared" si="32"/>
        <v>3.015E-2</v>
      </c>
      <c r="S135" s="104">
        <f t="shared" si="32"/>
        <v>3.015E-2</v>
      </c>
      <c r="T135" s="104">
        <f t="shared" si="32"/>
        <v>3.015E-2</v>
      </c>
      <c r="U135" s="104">
        <f t="shared" si="32"/>
        <v>3.015E-2</v>
      </c>
      <c r="V135" s="104">
        <f t="shared" si="32"/>
        <v>3.015E-2</v>
      </c>
      <c r="W135" s="104">
        <f t="shared" si="32"/>
        <v>0</v>
      </c>
      <c r="X135" s="104">
        <f t="shared" si="32"/>
        <v>0</v>
      </c>
      <c r="Y135" s="104">
        <f t="shared" si="32"/>
        <v>0</v>
      </c>
      <c r="Z135" s="104">
        <f t="shared" si="32"/>
        <v>0</v>
      </c>
      <c r="AA135" s="104">
        <f t="shared" si="32"/>
        <v>0</v>
      </c>
      <c r="AB135" s="104">
        <f t="shared" si="32"/>
        <v>0</v>
      </c>
      <c r="AC135" s="104">
        <f t="shared" si="32"/>
        <v>0</v>
      </c>
      <c r="AD135" s="104">
        <f t="shared" si="32"/>
        <v>0</v>
      </c>
      <c r="AE135" s="104">
        <f t="shared" si="32"/>
        <v>0</v>
      </c>
      <c r="AF135" s="104">
        <f t="shared" si="32"/>
        <v>0</v>
      </c>
      <c r="AG135" s="104">
        <f t="shared" si="32"/>
        <v>0</v>
      </c>
      <c r="AH135" s="104">
        <f t="shared" si="32"/>
        <v>0</v>
      </c>
      <c r="AI135" s="104">
        <f t="shared" si="32"/>
        <v>0</v>
      </c>
      <c r="AJ135" s="104">
        <f t="shared" si="32"/>
        <v>0</v>
      </c>
      <c r="AK135" s="104">
        <f t="shared" si="32"/>
        <v>0</v>
      </c>
    </row>
    <row r="136" spans="1:37" s="11" customFormat="1" ht="14.25" customHeight="1" x14ac:dyDescent="0.3">
      <c r="B136" s="31"/>
      <c r="C136" s="105"/>
      <c r="D136" s="105"/>
      <c r="E136" s="105"/>
      <c r="F136" s="105"/>
      <c r="G136" s="105"/>
      <c r="H136" s="106"/>
      <c r="I136" s="105"/>
      <c r="J136" s="105"/>
      <c r="K136" s="105"/>
      <c r="L136" s="105"/>
      <c r="M136" s="105"/>
      <c r="N136" s="105"/>
      <c r="O136" s="105"/>
      <c r="P136" s="105"/>
      <c r="Q136" s="105"/>
    </row>
    <row r="137" spans="1:37" s="11" customFormat="1" ht="14.25" customHeight="1" x14ac:dyDescent="0.3">
      <c r="B137" s="116"/>
      <c r="H137" s="112"/>
      <c r="I137" s="112"/>
      <c r="J137" s="112"/>
      <c r="K137" s="112"/>
      <c r="L137" s="112"/>
      <c r="M137" s="112"/>
      <c r="N137" s="112"/>
      <c r="O137" s="112"/>
      <c r="P137" s="112"/>
      <c r="Q137" s="112"/>
    </row>
    <row r="138" spans="1:37" s="11" customFormat="1" ht="14.25" customHeight="1" x14ac:dyDescent="0.3">
      <c r="B138" s="116"/>
      <c r="H138" s="112"/>
      <c r="I138" s="112"/>
      <c r="J138" s="112"/>
      <c r="K138" s="112"/>
      <c r="L138" s="112"/>
      <c r="M138" s="112"/>
      <c r="N138" s="112"/>
      <c r="O138" s="112"/>
      <c r="P138" s="112"/>
      <c r="Q138" s="112"/>
    </row>
    <row r="139" spans="1:37" s="11" customFormat="1" ht="14.25" customHeight="1" x14ac:dyDescent="0.3">
      <c r="B139" s="117"/>
      <c r="C139" s="118"/>
      <c r="D139" s="118"/>
      <c r="E139" s="118"/>
      <c r="F139" s="118"/>
      <c r="G139" s="118"/>
      <c r="H139" s="118"/>
      <c r="I139" s="118"/>
      <c r="J139" s="118"/>
      <c r="K139" s="118"/>
      <c r="L139" s="118"/>
      <c r="M139" s="118"/>
      <c r="N139" s="118"/>
      <c r="R139" s="119"/>
    </row>
    <row r="140" spans="1:37" s="14" customFormat="1" ht="14.25" customHeight="1" x14ac:dyDescent="0.3">
      <c r="A140" s="12" t="s">
        <v>248</v>
      </c>
      <c r="B140" s="12"/>
      <c r="C140" s="12"/>
      <c r="D140" s="12"/>
      <c r="E140" s="12"/>
      <c r="F140" s="12"/>
      <c r="G140" s="12"/>
      <c r="H140" s="12"/>
      <c r="I140" s="12"/>
      <c r="J140" s="12"/>
    </row>
    <row r="141" spans="1:37" s="21" customFormat="1" ht="14.25" customHeight="1" x14ac:dyDescent="0.3">
      <c r="A141" s="406" t="s">
        <v>249</v>
      </c>
      <c r="B141" s="406"/>
      <c r="C141" s="406"/>
      <c r="D141" s="406"/>
      <c r="E141" s="406"/>
      <c r="F141" s="406"/>
      <c r="G141" s="406"/>
      <c r="H141" s="406"/>
      <c r="I141" s="406"/>
      <c r="J141" s="406"/>
      <c r="K141" s="406"/>
      <c r="L141" s="406"/>
      <c r="M141" s="406"/>
      <c r="N141" s="406"/>
      <c r="O141" s="406"/>
      <c r="P141" s="406"/>
      <c r="Q141" s="406"/>
      <c r="R141" s="406"/>
      <c r="S141" s="406"/>
      <c r="T141" s="406"/>
      <c r="U141" s="406"/>
      <c r="V141" s="406"/>
      <c r="W141" s="406"/>
      <c r="X141" s="406"/>
      <c r="Y141" s="406"/>
      <c r="Z141" s="406"/>
      <c r="AA141" s="406"/>
      <c r="AB141" s="406"/>
      <c r="AC141" s="406"/>
      <c r="AD141" s="406"/>
      <c r="AE141" s="406"/>
      <c r="AF141" s="406"/>
      <c r="AG141" s="406"/>
      <c r="AH141" s="406"/>
      <c r="AI141" s="406"/>
      <c r="AJ141" s="406"/>
      <c r="AK141" s="406"/>
    </row>
    <row r="142" spans="1:37" s="11" customFormat="1" ht="14.25" customHeight="1" x14ac:dyDescent="0.3">
      <c r="B142" s="117"/>
      <c r="R142" s="119"/>
    </row>
    <row r="143" spans="1:37" s="130" customFormat="1" ht="14.25" customHeight="1" x14ac:dyDescent="0.3">
      <c r="A143" s="139" t="s">
        <v>185</v>
      </c>
      <c r="B143" s="139"/>
      <c r="C143" s="140"/>
      <c r="D143" s="108">
        <f t="shared" ref="D143:AK143" si="33">D17</f>
        <v>-3</v>
      </c>
      <c r="E143" s="108">
        <f t="shared" si="33"/>
        <v>-2</v>
      </c>
      <c r="F143" s="108">
        <f t="shared" si="33"/>
        <v>-1</v>
      </c>
      <c r="G143" s="108">
        <f t="shared" si="33"/>
        <v>0</v>
      </c>
      <c r="H143" s="108">
        <f t="shared" si="33"/>
        <v>1</v>
      </c>
      <c r="I143" s="108">
        <f t="shared" si="33"/>
        <v>2</v>
      </c>
      <c r="J143" s="108">
        <f t="shared" si="33"/>
        <v>3</v>
      </c>
      <c r="K143" s="108">
        <f t="shared" si="33"/>
        <v>4</v>
      </c>
      <c r="L143" s="108">
        <f t="shared" si="33"/>
        <v>5</v>
      </c>
      <c r="M143" s="108">
        <f t="shared" si="33"/>
        <v>6</v>
      </c>
      <c r="N143" s="108">
        <f t="shared" si="33"/>
        <v>7</v>
      </c>
      <c r="O143" s="108">
        <f t="shared" si="33"/>
        <v>8</v>
      </c>
      <c r="P143" s="108">
        <f t="shared" si="33"/>
        <v>9</v>
      </c>
      <c r="Q143" s="108">
        <f t="shared" si="33"/>
        <v>10</v>
      </c>
      <c r="R143" s="108">
        <f t="shared" si="33"/>
        <v>11</v>
      </c>
      <c r="S143" s="108">
        <f t="shared" si="33"/>
        <v>12</v>
      </c>
      <c r="T143" s="108">
        <f t="shared" si="33"/>
        <v>13</v>
      </c>
      <c r="U143" s="108">
        <f t="shared" si="33"/>
        <v>14</v>
      </c>
      <c r="V143" s="108">
        <f t="shared" si="33"/>
        <v>15</v>
      </c>
      <c r="W143" s="108">
        <f t="shared" si="33"/>
        <v>16</v>
      </c>
      <c r="X143" s="108">
        <f t="shared" si="33"/>
        <v>17</v>
      </c>
      <c r="Y143" s="108">
        <f t="shared" si="33"/>
        <v>18</v>
      </c>
      <c r="Z143" s="108">
        <f t="shared" si="33"/>
        <v>19</v>
      </c>
      <c r="AA143" s="108">
        <f t="shared" si="33"/>
        <v>20</v>
      </c>
      <c r="AB143" s="108">
        <f t="shared" si="33"/>
        <v>21</v>
      </c>
      <c r="AC143" s="108">
        <f t="shared" si="33"/>
        <v>22</v>
      </c>
      <c r="AD143" s="108">
        <f t="shared" si="33"/>
        <v>23</v>
      </c>
      <c r="AE143" s="108">
        <f t="shared" si="33"/>
        <v>24</v>
      </c>
      <c r="AF143" s="108">
        <f t="shared" si="33"/>
        <v>25</v>
      </c>
      <c r="AG143" s="108">
        <f t="shared" si="33"/>
        <v>26</v>
      </c>
      <c r="AH143" s="108">
        <f t="shared" si="33"/>
        <v>27</v>
      </c>
      <c r="AI143" s="108">
        <f t="shared" si="33"/>
        <v>28</v>
      </c>
      <c r="AJ143" s="108">
        <f t="shared" si="33"/>
        <v>29</v>
      </c>
      <c r="AK143" s="108">
        <f t="shared" si="33"/>
        <v>30</v>
      </c>
    </row>
    <row r="144" spans="1:37" s="131" customFormat="1" ht="14.25" customHeight="1" x14ac:dyDescent="0.3">
      <c r="A144" s="141" t="s">
        <v>250</v>
      </c>
      <c r="B144" s="142"/>
      <c r="C144" s="143"/>
      <c r="D144" s="143"/>
      <c r="E144" s="143"/>
      <c r="F144" s="143"/>
      <c r="G144" s="143"/>
      <c r="H144" s="143">
        <f t="shared" ref="H144:AK144" si="34">IF(H17&gt;ev_periode_jaar,0,POWER(1+$B$129,H143-$H$143))</f>
        <v>1</v>
      </c>
      <c r="I144" s="143">
        <f t="shared" si="34"/>
        <v>1.02</v>
      </c>
      <c r="J144" s="143">
        <f t="shared" si="34"/>
        <v>1.0404</v>
      </c>
      <c r="K144" s="143">
        <f t="shared" si="34"/>
        <v>1.0612079999999999</v>
      </c>
      <c r="L144" s="143">
        <f t="shared" si="34"/>
        <v>1.08243216</v>
      </c>
      <c r="M144" s="143">
        <f t="shared" si="34"/>
        <v>1.1040808032</v>
      </c>
      <c r="N144" s="143">
        <f t="shared" si="34"/>
        <v>1.1261624192640001</v>
      </c>
      <c r="O144" s="143">
        <f t="shared" si="34"/>
        <v>1.1486856676492798</v>
      </c>
      <c r="P144" s="143">
        <f t="shared" si="34"/>
        <v>1.1716593810022655</v>
      </c>
      <c r="Q144" s="143">
        <f t="shared" si="34"/>
        <v>1.1950925686223108</v>
      </c>
      <c r="R144" s="143">
        <f t="shared" si="34"/>
        <v>1.2189944199947571</v>
      </c>
      <c r="S144" s="143">
        <f t="shared" si="34"/>
        <v>1.243374308394652</v>
      </c>
      <c r="T144" s="143">
        <f t="shared" si="34"/>
        <v>1.2682417945625453</v>
      </c>
      <c r="U144" s="143">
        <f t="shared" si="34"/>
        <v>1.2936066304537961</v>
      </c>
      <c r="V144" s="143">
        <f t="shared" si="34"/>
        <v>1.3194787630628722</v>
      </c>
      <c r="W144" s="143">
        <f t="shared" si="34"/>
        <v>0</v>
      </c>
      <c r="X144" s="143">
        <f t="shared" si="34"/>
        <v>0</v>
      </c>
      <c r="Y144" s="143">
        <f t="shared" si="34"/>
        <v>0</v>
      </c>
      <c r="Z144" s="143">
        <f t="shared" si="34"/>
        <v>0</v>
      </c>
      <c r="AA144" s="143">
        <f t="shared" si="34"/>
        <v>0</v>
      </c>
      <c r="AB144" s="143">
        <f t="shared" si="34"/>
        <v>0</v>
      </c>
      <c r="AC144" s="143">
        <f t="shared" si="34"/>
        <v>0</v>
      </c>
      <c r="AD144" s="143">
        <f t="shared" si="34"/>
        <v>0</v>
      </c>
      <c r="AE144" s="143">
        <f t="shared" si="34"/>
        <v>0</v>
      </c>
      <c r="AF144" s="143">
        <f t="shared" si="34"/>
        <v>0</v>
      </c>
      <c r="AG144" s="143">
        <f t="shared" si="34"/>
        <v>0</v>
      </c>
      <c r="AH144" s="143">
        <f t="shared" si="34"/>
        <v>0</v>
      </c>
      <c r="AI144" s="143">
        <f t="shared" si="34"/>
        <v>0</v>
      </c>
      <c r="AJ144" s="143">
        <f t="shared" si="34"/>
        <v>0</v>
      </c>
      <c r="AK144" s="143">
        <f t="shared" si="34"/>
        <v>0</v>
      </c>
    </row>
    <row r="145" spans="1:38" s="11" customFormat="1" ht="14.25" customHeight="1" x14ac:dyDescent="0.3">
      <c r="A145" s="120"/>
      <c r="B145" s="121"/>
      <c r="C145" s="121"/>
      <c r="D145" s="121"/>
      <c r="E145" s="121"/>
      <c r="F145" s="121"/>
      <c r="G145" s="121"/>
      <c r="H145" s="121"/>
      <c r="I145" s="121"/>
      <c r="J145" s="121"/>
      <c r="K145" s="121"/>
      <c r="L145" s="121"/>
      <c r="M145" s="121"/>
      <c r="N145" s="121"/>
      <c r="O145" s="121"/>
      <c r="P145" s="121"/>
      <c r="Q145" s="121"/>
      <c r="R145" s="119"/>
      <c r="S145" s="119"/>
      <c r="T145" s="119"/>
      <c r="U145" s="119"/>
      <c r="V145" s="119"/>
      <c r="W145" s="119"/>
      <c r="X145" s="119"/>
      <c r="Y145" s="119"/>
      <c r="Z145" s="119"/>
      <c r="AA145" s="119"/>
      <c r="AB145" s="119"/>
      <c r="AC145" s="119"/>
      <c r="AD145" s="119"/>
      <c r="AE145" s="119"/>
      <c r="AF145" s="119"/>
      <c r="AG145" s="119"/>
      <c r="AH145" s="119"/>
      <c r="AI145" s="119"/>
      <c r="AJ145" s="119"/>
      <c r="AK145" s="119"/>
    </row>
    <row r="146" spans="1:38" s="11" customFormat="1" ht="14.25" customHeight="1" x14ac:dyDescent="0.3">
      <c r="A146" s="66" t="s">
        <v>251</v>
      </c>
      <c r="B146" s="121"/>
      <c r="C146" s="87" t="s">
        <v>252</v>
      </c>
      <c r="D146" s="121"/>
      <c r="E146" s="121"/>
      <c r="F146" s="121"/>
      <c r="G146" s="121"/>
      <c r="H146" s="121"/>
      <c r="I146" s="121"/>
      <c r="J146" s="121"/>
      <c r="K146" s="121"/>
      <c r="L146" s="121"/>
      <c r="M146" s="121"/>
      <c r="N146" s="121"/>
      <c r="O146" s="121"/>
      <c r="P146" s="121"/>
      <c r="Q146" s="121"/>
      <c r="R146" s="119"/>
      <c r="S146" s="119"/>
      <c r="T146" s="119"/>
      <c r="U146" s="119"/>
      <c r="V146" s="119"/>
      <c r="W146" s="119"/>
      <c r="X146" s="119"/>
      <c r="Y146" s="119"/>
      <c r="Z146" s="119"/>
      <c r="AA146" s="119"/>
      <c r="AB146" s="119"/>
      <c r="AC146" s="119"/>
      <c r="AD146" s="119"/>
      <c r="AE146" s="119"/>
      <c r="AF146" s="119"/>
      <c r="AG146" s="119"/>
      <c r="AH146" s="119"/>
      <c r="AI146" s="119"/>
      <c r="AJ146" s="119"/>
      <c r="AK146" s="119"/>
    </row>
    <row r="147" spans="1:38" s="11" customFormat="1" ht="14.25" customHeight="1" x14ac:dyDescent="0.3">
      <c r="A147" s="11" t="s">
        <v>253</v>
      </c>
      <c r="B147" s="121"/>
      <c r="C147" s="87"/>
      <c r="D147" s="106">
        <f>-ABS(D34)-ABS(D122)</f>
        <v>0</v>
      </c>
      <c r="E147" s="106">
        <f>-ABS(E34)-ABS(E122)</f>
        <v>0</v>
      </c>
      <c r="F147" s="106">
        <f>-ABS(F34)-ABS(F122)</f>
        <v>-8052000</v>
      </c>
      <c r="G147" s="106">
        <f>-ABS(G34)-ABS(G122)</f>
        <v>0</v>
      </c>
      <c r="H147" s="203"/>
      <c r="I147" s="203"/>
      <c r="J147" s="203"/>
      <c r="K147" s="203"/>
      <c r="L147" s="203"/>
      <c r="M147" s="203"/>
      <c r="N147" s="203"/>
      <c r="O147" s="203"/>
      <c r="P147" s="203"/>
      <c r="Q147" s="203"/>
      <c r="R147" s="203"/>
      <c r="S147" s="203"/>
      <c r="T147" s="203"/>
      <c r="U147" s="203"/>
      <c r="V147" s="203"/>
      <c r="W147" s="113"/>
      <c r="X147" s="113"/>
      <c r="Y147" s="113"/>
      <c r="Z147" s="113"/>
      <c r="AA147" s="113"/>
      <c r="AB147" s="113"/>
      <c r="AC147" s="113"/>
      <c r="AD147" s="113"/>
      <c r="AE147" s="113"/>
      <c r="AF147" s="113"/>
      <c r="AG147" s="113"/>
      <c r="AH147" s="113"/>
      <c r="AI147" s="113"/>
      <c r="AJ147" s="113"/>
      <c r="AK147" s="113"/>
    </row>
    <row r="148" spans="1:38" s="11" customFormat="1" ht="14.25" customHeight="1" x14ac:dyDescent="0.3">
      <c r="A148" s="11" t="s">
        <v>198</v>
      </c>
      <c r="B148" s="121"/>
      <c r="C148" s="87"/>
      <c r="D148" s="121"/>
      <c r="E148" s="121"/>
      <c r="F148" s="121"/>
      <c r="G148" s="121"/>
      <c r="H148" s="152">
        <f ca="1">IF(H17&gt;ev_periode_jaar,0,IFERROR(-ABS(H41)-ABS(H123),0))</f>
        <v>-437532.5</v>
      </c>
      <c r="I148" s="152">
        <f t="shared" ref="I148:AK148" ca="1" si="35">IF(I17&gt;ev_periode_jaar,0,IFERROR(-ABS(I41)-ABS(I123),0))</f>
        <v>-438231.15</v>
      </c>
      <c r="J148" s="152">
        <f t="shared" ca="1" si="35"/>
        <v>-438943.77299999999</v>
      </c>
      <c r="K148" s="152">
        <f t="shared" ca="1" si="35"/>
        <v>-439670.64846</v>
      </c>
      <c r="L148" s="152">
        <f t="shared" ca="1" si="35"/>
        <v>-440412.0614292</v>
      </c>
      <c r="M148" s="152">
        <f t="shared" ca="1" si="35"/>
        <v>-441168.30265778402</v>
      </c>
      <c r="N148" s="152">
        <f t="shared" ca="1" si="35"/>
        <v>-441939.6687109397</v>
      </c>
      <c r="O148" s="152">
        <f t="shared" ca="1" si="35"/>
        <v>-442726.46208515845</v>
      </c>
      <c r="P148" s="152">
        <f t="shared" ca="1" si="35"/>
        <v>-443528.99132686167</v>
      </c>
      <c r="Q148" s="152">
        <f t="shared" ca="1" si="35"/>
        <v>-444347.57115339889</v>
      </c>
      <c r="R148" s="152">
        <f t="shared" ca="1" si="35"/>
        <v>-445182.52257646684</v>
      </c>
      <c r="S148" s="152">
        <f t="shared" ca="1" si="35"/>
        <v>-446034.17302799621</v>
      </c>
      <c r="T148" s="152">
        <f t="shared" ca="1" si="35"/>
        <v>-446902.85648855614</v>
      </c>
      <c r="U148" s="152">
        <f t="shared" ca="1" si="35"/>
        <v>-447788.91361832723</v>
      </c>
      <c r="V148" s="152">
        <f t="shared" ca="1" si="35"/>
        <v>-448692.69189069379</v>
      </c>
      <c r="W148" s="123">
        <f t="shared" si="35"/>
        <v>0</v>
      </c>
      <c r="X148" s="123">
        <f t="shared" si="35"/>
        <v>0</v>
      </c>
      <c r="Y148" s="123">
        <f t="shared" si="35"/>
        <v>0</v>
      </c>
      <c r="Z148" s="123">
        <f t="shared" si="35"/>
        <v>0</v>
      </c>
      <c r="AA148" s="123">
        <f t="shared" si="35"/>
        <v>0</v>
      </c>
      <c r="AB148" s="123">
        <f t="shared" si="35"/>
        <v>0</v>
      </c>
      <c r="AC148" s="123">
        <f t="shared" si="35"/>
        <v>0</v>
      </c>
      <c r="AD148" s="123">
        <f t="shared" si="35"/>
        <v>0</v>
      </c>
      <c r="AE148" s="123">
        <f t="shared" si="35"/>
        <v>0</v>
      </c>
      <c r="AF148" s="123">
        <f t="shared" si="35"/>
        <v>0</v>
      </c>
      <c r="AG148" s="123">
        <f t="shared" si="35"/>
        <v>0</v>
      </c>
      <c r="AH148" s="123">
        <f t="shared" si="35"/>
        <v>0</v>
      </c>
      <c r="AI148" s="123">
        <f t="shared" si="35"/>
        <v>0</v>
      </c>
      <c r="AJ148" s="123">
        <f t="shared" si="35"/>
        <v>0</v>
      </c>
      <c r="AK148" s="123">
        <f t="shared" si="35"/>
        <v>0</v>
      </c>
    </row>
    <row r="149" spans="1:38" s="11" customFormat="1" ht="14.25" customHeight="1" x14ac:dyDescent="0.3">
      <c r="A149" s="11" t="s">
        <v>209</v>
      </c>
      <c r="B149" s="121"/>
      <c r="C149" s="87"/>
      <c r="D149" s="121"/>
      <c r="E149" s="121"/>
      <c r="F149" s="121"/>
      <c r="G149" s="121"/>
      <c r="H149" s="152">
        <f t="shared" ref="H149:AK149" si="36">IF(H17&gt;ev_periode_jaar,0,IFERROR(-ABS(H61),0))</f>
        <v>-832000.00000000012</v>
      </c>
      <c r="I149" s="152">
        <f t="shared" si="36"/>
        <v>-839329.86771676294</v>
      </c>
      <c r="J149" s="152">
        <f t="shared" si="36"/>
        <v>-846672.53543352592</v>
      </c>
      <c r="K149" s="152">
        <f t="shared" si="36"/>
        <v>-854028.25915028877</v>
      </c>
      <c r="L149" s="152">
        <f t="shared" si="36"/>
        <v>-861397.29998705175</v>
      </c>
      <c r="M149" s="152">
        <f t="shared" si="36"/>
        <v>-868779.92428621463</v>
      </c>
      <c r="N149" s="152">
        <f t="shared" si="36"/>
        <v>-878267.37934408512</v>
      </c>
      <c r="O149" s="152">
        <f t="shared" si="36"/>
        <v>-887768.96663623652</v>
      </c>
      <c r="P149" s="152">
        <f t="shared" si="36"/>
        <v>-897284.96880735469</v>
      </c>
      <c r="Q149" s="152">
        <f t="shared" si="36"/>
        <v>-906815.67415501853</v>
      </c>
      <c r="R149" s="152">
        <f t="shared" si="36"/>
        <v>-916361.37674275925</v>
      </c>
      <c r="S149" s="152">
        <f t="shared" si="36"/>
        <v>-909198.33746869629</v>
      </c>
      <c r="T149" s="152">
        <f t="shared" si="36"/>
        <v>-902050.90132320917</v>
      </c>
      <c r="U149" s="152">
        <f t="shared" si="36"/>
        <v>-894919.38036886952</v>
      </c>
      <c r="V149" s="152">
        <f t="shared" si="36"/>
        <v>-887804.09290950035</v>
      </c>
      <c r="W149" s="123">
        <f t="shared" si="36"/>
        <v>0</v>
      </c>
      <c r="X149" s="123">
        <f t="shared" si="36"/>
        <v>0</v>
      </c>
      <c r="Y149" s="123">
        <f t="shared" si="36"/>
        <v>0</v>
      </c>
      <c r="Z149" s="123">
        <f t="shared" si="36"/>
        <v>0</v>
      </c>
      <c r="AA149" s="123">
        <f t="shared" si="36"/>
        <v>0</v>
      </c>
      <c r="AB149" s="123">
        <f t="shared" si="36"/>
        <v>0</v>
      </c>
      <c r="AC149" s="123">
        <f t="shared" si="36"/>
        <v>0</v>
      </c>
      <c r="AD149" s="123">
        <f t="shared" si="36"/>
        <v>0</v>
      </c>
      <c r="AE149" s="123">
        <f t="shared" si="36"/>
        <v>0</v>
      </c>
      <c r="AF149" s="123">
        <f t="shared" si="36"/>
        <v>0</v>
      </c>
      <c r="AG149" s="123">
        <f t="shared" si="36"/>
        <v>0</v>
      </c>
      <c r="AH149" s="123">
        <f t="shared" si="36"/>
        <v>0</v>
      </c>
      <c r="AI149" s="123">
        <f t="shared" si="36"/>
        <v>0</v>
      </c>
      <c r="AJ149" s="123">
        <f t="shared" si="36"/>
        <v>0</v>
      </c>
      <c r="AK149" s="123">
        <f t="shared" si="36"/>
        <v>0</v>
      </c>
    </row>
    <row r="150" spans="1:38" s="11" customFormat="1" ht="14.25" customHeight="1" x14ac:dyDescent="0.3">
      <c r="A150" s="350" t="s">
        <v>254</v>
      </c>
      <c r="B150" s="350"/>
      <c r="C150" s="350"/>
      <c r="D150" s="351">
        <f>SUM(D147:D149)</f>
        <v>0</v>
      </c>
      <c r="E150" s="351">
        <f t="shared" ref="E150:AK150" si="37">SUM(E147:E149)</f>
        <v>0</v>
      </c>
      <c r="F150" s="351">
        <f t="shared" si="37"/>
        <v>-8052000</v>
      </c>
      <c r="G150" s="351">
        <f t="shared" si="37"/>
        <v>0</v>
      </c>
      <c r="H150" s="352">
        <f t="shared" ca="1" si="37"/>
        <v>-1269532.5</v>
      </c>
      <c r="I150" s="352">
        <f t="shared" ca="1" si="37"/>
        <v>-1277561.0177167631</v>
      </c>
      <c r="J150" s="352">
        <f t="shared" ca="1" si="37"/>
        <v>-1285616.308433526</v>
      </c>
      <c r="K150" s="352">
        <f t="shared" ca="1" si="37"/>
        <v>-1293698.9076102888</v>
      </c>
      <c r="L150" s="352">
        <f t="shared" ca="1" si="37"/>
        <v>-1301809.3614162519</v>
      </c>
      <c r="M150" s="352">
        <f t="shared" ca="1" si="37"/>
        <v>-1309948.2269439986</v>
      </c>
      <c r="N150" s="352">
        <f t="shared" ca="1" si="37"/>
        <v>-1320207.0480550248</v>
      </c>
      <c r="O150" s="352">
        <f t="shared" ca="1" si="37"/>
        <v>-1330495.4287213949</v>
      </c>
      <c r="P150" s="352">
        <f t="shared" ca="1" si="37"/>
        <v>-1340813.9601342164</v>
      </c>
      <c r="Q150" s="352">
        <f t="shared" ca="1" si="37"/>
        <v>-1351163.2453084174</v>
      </c>
      <c r="R150" s="352">
        <f t="shared" ca="1" si="37"/>
        <v>-1361543.8993192262</v>
      </c>
      <c r="S150" s="352">
        <f t="shared" ca="1" si="37"/>
        <v>-1355232.5104966925</v>
      </c>
      <c r="T150" s="352">
        <f t="shared" ca="1" si="37"/>
        <v>-1348953.7578117652</v>
      </c>
      <c r="U150" s="352">
        <f t="shared" ca="1" si="37"/>
        <v>-1342708.2939871969</v>
      </c>
      <c r="V150" s="352">
        <f t="shared" ca="1" si="37"/>
        <v>-1336496.7848001942</v>
      </c>
      <c r="W150" s="353">
        <f t="shared" si="37"/>
        <v>0</v>
      </c>
      <c r="X150" s="353">
        <f t="shared" si="37"/>
        <v>0</v>
      </c>
      <c r="Y150" s="353">
        <f t="shared" si="37"/>
        <v>0</v>
      </c>
      <c r="Z150" s="353">
        <f t="shared" si="37"/>
        <v>0</v>
      </c>
      <c r="AA150" s="353">
        <f t="shared" si="37"/>
        <v>0</v>
      </c>
      <c r="AB150" s="353">
        <f t="shared" si="37"/>
        <v>0</v>
      </c>
      <c r="AC150" s="353">
        <f t="shared" si="37"/>
        <v>0</v>
      </c>
      <c r="AD150" s="353">
        <f t="shared" si="37"/>
        <v>0</v>
      </c>
      <c r="AE150" s="353">
        <f t="shared" si="37"/>
        <v>0</v>
      </c>
      <c r="AF150" s="353">
        <f t="shared" si="37"/>
        <v>0</v>
      </c>
      <c r="AG150" s="353">
        <f t="shared" si="37"/>
        <v>0</v>
      </c>
      <c r="AH150" s="353">
        <f t="shared" si="37"/>
        <v>0</v>
      </c>
      <c r="AI150" s="353">
        <f t="shared" si="37"/>
        <v>0</v>
      </c>
      <c r="AJ150" s="353">
        <f t="shared" si="37"/>
        <v>0</v>
      </c>
      <c r="AK150" s="353">
        <f t="shared" si="37"/>
        <v>0</v>
      </c>
    </row>
    <row r="151" spans="1:38" s="11" customFormat="1" ht="14.25" customHeight="1" x14ac:dyDescent="0.3">
      <c r="B151" s="31"/>
      <c r="H151" s="109"/>
      <c r="I151" s="109"/>
      <c r="J151" s="109"/>
      <c r="K151" s="109"/>
      <c r="L151" s="109"/>
      <c r="M151" s="109"/>
      <c r="N151" s="109"/>
      <c r="O151" s="109"/>
      <c r="P151" s="109"/>
      <c r="Q151" s="109"/>
      <c r="R151" s="109"/>
      <c r="S151" s="109"/>
      <c r="T151" s="109"/>
      <c r="U151" s="109"/>
      <c r="V151" s="109"/>
      <c r="W151" s="109"/>
      <c r="X151" s="109"/>
      <c r="Y151" s="109"/>
      <c r="Z151" s="109"/>
      <c r="AA151" s="109"/>
      <c r="AB151" s="109"/>
      <c r="AC151" s="109"/>
      <c r="AD151" s="109"/>
      <c r="AE151" s="109"/>
      <c r="AF151" s="109"/>
      <c r="AG151" s="109"/>
      <c r="AH151" s="109"/>
      <c r="AI151" s="109"/>
      <c r="AJ151" s="109"/>
      <c r="AK151" s="109"/>
    </row>
    <row r="152" spans="1:38" s="11" customFormat="1" ht="14.25" customHeight="1" x14ac:dyDescent="0.3">
      <c r="A152" s="66" t="s">
        <v>255</v>
      </c>
      <c r="B152" s="31"/>
      <c r="C152" s="87" t="s">
        <v>252</v>
      </c>
      <c r="H152" s="123"/>
      <c r="I152" s="123"/>
      <c r="J152" s="123"/>
      <c r="K152" s="123"/>
      <c r="L152" s="123"/>
      <c r="M152" s="123"/>
      <c r="N152" s="123"/>
      <c r="O152" s="123"/>
      <c r="P152" s="123"/>
      <c r="Q152" s="123"/>
      <c r="R152" s="109"/>
      <c r="S152" s="109"/>
      <c r="T152" s="109"/>
      <c r="U152" s="109"/>
      <c r="V152" s="109"/>
      <c r="W152" s="109"/>
      <c r="X152" s="109"/>
      <c r="Y152" s="109"/>
      <c r="Z152" s="109"/>
      <c r="AA152" s="109"/>
      <c r="AB152" s="109"/>
      <c r="AC152" s="109"/>
      <c r="AD152" s="109"/>
      <c r="AE152" s="109"/>
      <c r="AF152" s="109"/>
      <c r="AG152" s="109"/>
      <c r="AH152" s="109"/>
      <c r="AI152" s="109"/>
      <c r="AJ152" s="109"/>
      <c r="AK152" s="109"/>
    </row>
    <row r="153" spans="1:38" s="11" customFormat="1" ht="14.25" customHeight="1" x14ac:dyDescent="0.3">
      <c r="A153" s="11" t="s">
        <v>256</v>
      </c>
      <c r="B153" s="31"/>
      <c r="C153" s="11" t="s">
        <v>64</v>
      </c>
      <c r="D153" s="106"/>
      <c r="E153" s="106"/>
      <c r="F153" s="106"/>
      <c r="G153" s="106"/>
      <c r="H153" s="152">
        <f t="shared" ref="H153:AK153" si="38">IF(H17&gt;ev_periode_jaar,0,IFERROR(($B$19*H20*H25)*H99,0))</f>
        <v>0</v>
      </c>
      <c r="I153" s="152">
        <f t="shared" si="38"/>
        <v>0</v>
      </c>
      <c r="J153" s="152">
        <f t="shared" si="38"/>
        <v>0</v>
      </c>
      <c r="K153" s="152">
        <f t="shared" si="38"/>
        <v>671999.99999996857</v>
      </c>
      <c r="L153" s="152">
        <f t="shared" si="38"/>
        <v>855999.99999998033</v>
      </c>
      <c r="M153" s="152">
        <f t="shared" si="38"/>
        <v>1039999.9999999921</v>
      </c>
      <c r="N153" s="152">
        <f t="shared" si="38"/>
        <v>1224000.0000000037</v>
      </c>
      <c r="O153" s="152">
        <f t="shared" si="38"/>
        <v>1407999.9999999728</v>
      </c>
      <c r="P153" s="152">
        <f t="shared" si="38"/>
        <v>1591999.9999999846</v>
      </c>
      <c r="Q153" s="152">
        <f t="shared" si="38"/>
        <v>1775999.9999999963</v>
      </c>
      <c r="R153" s="132">
        <f t="shared" si="38"/>
        <v>1960000.0000000079</v>
      </c>
      <c r="S153" s="132">
        <f t="shared" si="38"/>
        <v>2143999.9999999772</v>
      </c>
      <c r="T153" s="132">
        <f t="shared" si="38"/>
        <v>2327999.9999999888</v>
      </c>
      <c r="U153" s="132">
        <f t="shared" si="38"/>
        <v>2512000.0000000005</v>
      </c>
      <c r="V153" s="132">
        <f t="shared" si="38"/>
        <v>2695999.9999999697</v>
      </c>
      <c r="W153" s="132">
        <f t="shared" si="38"/>
        <v>0</v>
      </c>
      <c r="X153" s="132">
        <f t="shared" si="38"/>
        <v>0</v>
      </c>
      <c r="Y153" s="132">
        <f t="shared" si="38"/>
        <v>0</v>
      </c>
      <c r="Z153" s="132">
        <f t="shared" si="38"/>
        <v>0</v>
      </c>
      <c r="AA153" s="132">
        <f t="shared" si="38"/>
        <v>0</v>
      </c>
      <c r="AB153" s="132">
        <f t="shared" si="38"/>
        <v>0</v>
      </c>
      <c r="AC153" s="132">
        <f t="shared" si="38"/>
        <v>0</v>
      </c>
      <c r="AD153" s="132">
        <f t="shared" si="38"/>
        <v>0</v>
      </c>
      <c r="AE153" s="132">
        <f t="shared" si="38"/>
        <v>0</v>
      </c>
      <c r="AF153" s="132">
        <f t="shared" si="38"/>
        <v>0</v>
      </c>
      <c r="AG153" s="132">
        <f t="shared" si="38"/>
        <v>0</v>
      </c>
      <c r="AH153" s="132">
        <f t="shared" si="38"/>
        <v>0</v>
      </c>
      <c r="AI153" s="132">
        <f t="shared" si="38"/>
        <v>0</v>
      </c>
      <c r="AJ153" s="132">
        <f t="shared" si="38"/>
        <v>0</v>
      </c>
      <c r="AK153" s="132">
        <f t="shared" si="38"/>
        <v>0</v>
      </c>
    </row>
    <row r="154" spans="1:38" s="11" customFormat="1" ht="14.25" customHeight="1" x14ac:dyDescent="0.3">
      <c r="A154" s="109" t="s">
        <v>257</v>
      </c>
      <c r="B154" s="31"/>
      <c r="C154" s="11" t="s">
        <v>64</v>
      </c>
      <c r="D154" s="106"/>
      <c r="E154" s="106"/>
      <c r="F154" s="106"/>
      <c r="G154" s="106"/>
      <c r="H154" s="152">
        <f t="shared" ref="H154:AK154" si="39">IF(H17&gt;ev_periode_jaar,0,H82)</f>
        <v>3046214.6392838336</v>
      </c>
      <c r="I154" s="152">
        <f t="shared" si="39"/>
        <v>3069209.4112690892</v>
      </c>
      <c r="J154" s="152">
        <f t="shared" si="39"/>
        <v>3092664.0786940493</v>
      </c>
      <c r="K154" s="152">
        <f t="shared" si="39"/>
        <v>3116587.8394675096</v>
      </c>
      <c r="L154" s="152">
        <f t="shared" si="39"/>
        <v>3140990.0754564391</v>
      </c>
      <c r="M154" s="152">
        <f t="shared" si="39"/>
        <v>3165880.3561651465</v>
      </c>
      <c r="N154" s="152">
        <f t="shared" si="39"/>
        <v>3191268.4424880273</v>
      </c>
      <c r="O154" s="152">
        <f t="shared" si="39"/>
        <v>3217164.2905373666</v>
      </c>
      <c r="P154" s="152">
        <f t="shared" si="39"/>
        <v>3243578.0555476933</v>
      </c>
      <c r="Q154" s="152">
        <f t="shared" si="39"/>
        <v>3270520.0958582251</v>
      </c>
      <c r="R154" s="132">
        <f t="shared" si="39"/>
        <v>3298000.9769749688</v>
      </c>
      <c r="S154" s="132">
        <f t="shared" si="39"/>
        <v>3326031.4757140465</v>
      </c>
      <c r="T154" s="132">
        <f t="shared" si="39"/>
        <v>3354622.5844279067</v>
      </c>
      <c r="U154" s="132">
        <f t="shared" si="39"/>
        <v>3383785.5153160435</v>
      </c>
      <c r="V154" s="132">
        <f t="shared" si="39"/>
        <v>3413531.7048219428</v>
      </c>
      <c r="W154" s="132">
        <f t="shared" si="39"/>
        <v>0</v>
      </c>
      <c r="X154" s="132">
        <f t="shared" si="39"/>
        <v>0</v>
      </c>
      <c r="Y154" s="132">
        <f t="shared" si="39"/>
        <v>0</v>
      </c>
      <c r="Z154" s="132">
        <f t="shared" si="39"/>
        <v>0</v>
      </c>
      <c r="AA154" s="132">
        <f t="shared" si="39"/>
        <v>0</v>
      </c>
      <c r="AB154" s="132">
        <f t="shared" si="39"/>
        <v>0</v>
      </c>
      <c r="AC154" s="132">
        <f t="shared" si="39"/>
        <v>0</v>
      </c>
      <c r="AD154" s="132">
        <f t="shared" si="39"/>
        <v>0</v>
      </c>
      <c r="AE154" s="132">
        <f t="shared" si="39"/>
        <v>0</v>
      </c>
      <c r="AF154" s="132">
        <f t="shared" si="39"/>
        <v>0</v>
      </c>
      <c r="AG154" s="132">
        <f t="shared" si="39"/>
        <v>0</v>
      </c>
      <c r="AH154" s="132">
        <f t="shared" si="39"/>
        <v>0</v>
      </c>
      <c r="AI154" s="132">
        <f t="shared" si="39"/>
        <v>0</v>
      </c>
      <c r="AJ154" s="132">
        <f t="shared" si="39"/>
        <v>0</v>
      </c>
      <c r="AK154" s="132">
        <f t="shared" si="39"/>
        <v>0</v>
      </c>
    </row>
    <row r="155" spans="1:38" s="11" customFormat="1" ht="14.25" customHeight="1" x14ac:dyDescent="0.3">
      <c r="A155" s="109" t="s">
        <v>258</v>
      </c>
      <c r="B155" s="31"/>
      <c r="C155" s="11" t="s">
        <v>64</v>
      </c>
      <c r="D155" s="106"/>
      <c r="E155" s="106"/>
      <c r="F155" s="106"/>
      <c r="G155" s="106"/>
      <c r="H155" s="152">
        <f t="shared" ref="H155:AK155" si="40">IF(H17&gt;ev_periode_jaar,0,H$113)</f>
        <v>0</v>
      </c>
      <c r="I155" s="152">
        <f t="shared" si="40"/>
        <v>0</v>
      </c>
      <c r="J155" s="152">
        <f t="shared" si="40"/>
        <v>0</v>
      </c>
      <c r="K155" s="152">
        <f t="shared" si="40"/>
        <v>0</v>
      </c>
      <c r="L155" s="152">
        <f t="shared" si="40"/>
        <v>0</v>
      </c>
      <c r="M155" s="152">
        <f t="shared" si="40"/>
        <v>0</v>
      </c>
      <c r="N155" s="152">
        <f t="shared" si="40"/>
        <v>0</v>
      </c>
      <c r="O155" s="152">
        <f t="shared" si="40"/>
        <v>0</v>
      </c>
      <c r="P155" s="152">
        <f t="shared" si="40"/>
        <v>0</v>
      </c>
      <c r="Q155" s="152">
        <f t="shared" si="40"/>
        <v>0</v>
      </c>
      <c r="R155" s="132">
        <f t="shared" si="40"/>
        <v>0</v>
      </c>
      <c r="S155" s="132">
        <f t="shared" si="40"/>
        <v>0</v>
      </c>
      <c r="T155" s="132">
        <f t="shared" si="40"/>
        <v>0</v>
      </c>
      <c r="U155" s="132">
        <f t="shared" si="40"/>
        <v>0</v>
      </c>
      <c r="V155" s="132">
        <f t="shared" si="40"/>
        <v>0</v>
      </c>
      <c r="W155" s="132">
        <f t="shared" si="40"/>
        <v>0</v>
      </c>
      <c r="X155" s="132">
        <f t="shared" si="40"/>
        <v>0</v>
      </c>
      <c r="Y155" s="132">
        <f t="shared" si="40"/>
        <v>0</v>
      </c>
      <c r="Z155" s="132">
        <f t="shared" si="40"/>
        <v>0</v>
      </c>
      <c r="AA155" s="132">
        <f t="shared" si="40"/>
        <v>0</v>
      </c>
      <c r="AB155" s="132">
        <f t="shared" si="40"/>
        <v>0</v>
      </c>
      <c r="AC155" s="132">
        <f t="shared" si="40"/>
        <v>0</v>
      </c>
      <c r="AD155" s="132">
        <f t="shared" si="40"/>
        <v>0</v>
      </c>
      <c r="AE155" s="132">
        <f t="shared" si="40"/>
        <v>0</v>
      </c>
      <c r="AF155" s="132">
        <f t="shared" si="40"/>
        <v>0</v>
      </c>
      <c r="AG155" s="132">
        <f t="shared" si="40"/>
        <v>0</v>
      </c>
      <c r="AH155" s="132">
        <f t="shared" si="40"/>
        <v>0</v>
      </c>
      <c r="AI155" s="132">
        <f t="shared" si="40"/>
        <v>0</v>
      </c>
      <c r="AJ155" s="132">
        <f t="shared" si="40"/>
        <v>0</v>
      </c>
      <c r="AK155" s="132">
        <f t="shared" si="40"/>
        <v>0</v>
      </c>
    </row>
    <row r="156" spans="1:38" s="11" customFormat="1" ht="14.25" customHeight="1" x14ac:dyDescent="0.3">
      <c r="A156" s="350" t="s">
        <v>259</v>
      </c>
      <c r="B156" s="354"/>
      <c r="C156" s="354" t="s">
        <v>64</v>
      </c>
      <c r="D156" s="355">
        <f>SUM(D153:D154)</f>
        <v>0</v>
      </c>
      <c r="E156" s="355">
        <f>SUM(E153:E154)</f>
        <v>0</v>
      </c>
      <c r="F156" s="355">
        <f>SUM(F153:F154)</f>
        <v>0</v>
      </c>
      <c r="G156" s="355">
        <f>SUM(G153:G154)</f>
        <v>0</v>
      </c>
      <c r="H156" s="352">
        <f t="shared" ref="H156:AK156" si="41">IF(H17&gt;ev_periode_jaar,0,SUM(H153:H155))</f>
        <v>3046214.6392838336</v>
      </c>
      <c r="I156" s="352">
        <f t="shared" si="41"/>
        <v>3069209.4112690892</v>
      </c>
      <c r="J156" s="352">
        <f t="shared" si="41"/>
        <v>3092664.0786940493</v>
      </c>
      <c r="K156" s="352">
        <f t="shared" si="41"/>
        <v>3788587.839467478</v>
      </c>
      <c r="L156" s="352">
        <f t="shared" si="41"/>
        <v>3996990.0754564195</v>
      </c>
      <c r="M156" s="352">
        <f t="shared" si="41"/>
        <v>4205880.356165139</v>
      </c>
      <c r="N156" s="352">
        <f t="shared" si="41"/>
        <v>4415268.4424880315</v>
      </c>
      <c r="O156" s="352">
        <f t="shared" si="41"/>
        <v>4625164.2905373396</v>
      </c>
      <c r="P156" s="352">
        <f t="shared" si="41"/>
        <v>4835578.0555476779</v>
      </c>
      <c r="Q156" s="352">
        <f t="shared" si="41"/>
        <v>5046520.0958582219</v>
      </c>
      <c r="R156" s="352">
        <f t="shared" si="41"/>
        <v>5258000.9769749772</v>
      </c>
      <c r="S156" s="352">
        <f t="shared" si="41"/>
        <v>5470031.4757140242</v>
      </c>
      <c r="T156" s="352">
        <f t="shared" si="41"/>
        <v>5682622.584427895</v>
      </c>
      <c r="U156" s="352">
        <f t="shared" si="41"/>
        <v>5895785.515316044</v>
      </c>
      <c r="V156" s="352">
        <f t="shared" si="41"/>
        <v>6109531.7048219126</v>
      </c>
      <c r="W156" s="352">
        <f t="shared" si="41"/>
        <v>0</v>
      </c>
      <c r="X156" s="352">
        <f t="shared" si="41"/>
        <v>0</v>
      </c>
      <c r="Y156" s="352">
        <f t="shared" si="41"/>
        <v>0</v>
      </c>
      <c r="Z156" s="352">
        <f t="shared" si="41"/>
        <v>0</v>
      </c>
      <c r="AA156" s="352">
        <f t="shared" si="41"/>
        <v>0</v>
      </c>
      <c r="AB156" s="352">
        <f t="shared" si="41"/>
        <v>0</v>
      </c>
      <c r="AC156" s="352">
        <f t="shared" si="41"/>
        <v>0</v>
      </c>
      <c r="AD156" s="352">
        <f t="shared" si="41"/>
        <v>0</v>
      </c>
      <c r="AE156" s="352">
        <f t="shared" si="41"/>
        <v>0</v>
      </c>
      <c r="AF156" s="352">
        <f t="shared" si="41"/>
        <v>0</v>
      </c>
      <c r="AG156" s="352">
        <f t="shared" si="41"/>
        <v>0</v>
      </c>
      <c r="AH156" s="352">
        <f t="shared" si="41"/>
        <v>0</v>
      </c>
      <c r="AI156" s="352">
        <f t="shared" si="41"/>
        <v>0</v>
      </c>
      <c r="AJ156" s="352">
        <f t="shared" si="41"/>
        <v>0</v>
      </c>
      <c r="AK156" s="352">
        <f t="shared" si="41"/>
        <v>0</v>
      </c>
    </row>
    <row r="157" spans="1:38" s="11" customFormat="1" ht="14.25" customHeight="1" x14ac:dyDescent="0.3">
      <c r="H157" s="110"/>
      <c r="I157" s="110"/>
      <c r="J157" s="110"/>
      <c r="K157" s="110"/>
      <c r="L157" s="110"/>
      <c r="M157" s="110"/>
      <c r="N157" s="110"/>
      <c r="O157" s="110"/>
      <c r="P157" s="110"/>
      <c r="Q157" s="110"/>
      <c r="R157" s="110"/>
      <c r="S157" s="110"/>
      <c r="T157" s="110"/>
      <c r="U157" s="110"/>
      <c r="V157" s="110"/>
      <c r="W157" s="110"/>
      <c r="X157" s="110"/>
      <c r="Y157" s="110"/>
      <c r="Z157" s="110"/>
      <c r="AA157" s="110"/>
      <c r="AB157" s="110"/>
      <c r="AC157" s="110"/>
      <c r="AD157" s="110"/>
      <c r="AE157" s="110"/>
      <c r="AF157" s="110"/>
      <c r="AG157" s="110"/>
      <c r="AH157" s="110"/>
      <c r="AI157" s="110"/>
      <c r="AJ157" s="110"/>
      <c r="AK157" s="110"/>
    </row>
    <row r="158" spans="1:38" s="11" customFormat="1" ht="14.25" customHeight="1" x14ac:dyDescent="0.3">
      <c r="A158" s="113" t="s">
        <v>260</v>
      </c>
      <c r="B158" s="110"/>
      <c r="C158" s="87" t="s">
        <v>252</v>
      </c>
      <c r="G158" s="109"/>
      <c r="H158" s="152"/>
      <c r="I158" s="152"/>
      <c r="J158" s="152"/>
      <c r="K158" s="152"/>
      <c r="L158" s="152"/>
      <c r="M158" s="152"/>
      <c r="N158" s="152"/>
      <c r="O158" s="152"/>
      <c r="P158" s="152"/>
      <c r="Q158" s="152"/>
      <c r="R158" s="110"/>
      <c r="S158" s="110"/>
      <c r="T158" s="110"/>
      <c r="U158" s="110"/>
      <c r="V158" s="110"/>
      <c r="W158" s="110"/>
      <c r="X158" s="110"/>
      <c r="Y158" s="110"/>
      <c r="Z158" s="110"/>
      <c r="AA158" s="110"/>
      <c r="AB158" s="110"/>
      <c r="AC158" s="110"/>
      <c r="AD158" s="110"/>
      <c r="AE158" s="110"/>
      <c r="AF158" s="110"/>
      <c r="AG158" s="110"/>
      <c r="AH158" s="110"/>
      <c r="AI158" s="110"/>
      <c r="AJ158" s="110"/>
      <c r="AK158" s="110"/>
    </row>
    <row r="159" spans="1:38" s="11" customFormat="1" ht="14.25" customHeight="1" x14ac:dyDescent="0.3">
      <c r="A159" s="11" t="s">
        <v>261</v>
      </c>
      <c r="B159" s="31"/>
      <c r="C159" s="11" t="s">
        <v>64</v>
      </c>
      <c r="D159" s="106"/>
      <c r="E159" s="106"/>
      <c r="F159" s="106"/>
      <c r="G159" s="106"/>
      <c r="H159" s="152">
        <f>IF(H17&gt;$B$128,0,-ABS(SUM($D$34:$G$34))/$B$128)</f>
        <v>-805200</v>
      </c>
      <c r="I159" s="152">
        <f t="shared" ref="I159:AK159" si="42">IF(I17&gt;$B$128,0,-ABS(SUM($D$34:$G$34))/$B$128)</f>
        <v>-805200</v>
      </c>
      <c r="J159" s="152">
        <f t="shared" si="42"/>
        <v>-805200</v>
      </c>
      <c r="K159" s="152">
        <f t="shared" si="42"/>
        <v>-805200</v>
      </c>
      <c r="L159" s="152">
        <f t="shared" si="42"/>
        <v>-805200</v>
      </c>
      <c r="M159" s="152">
        <f t="shared" si="42"/>
        <v>-805200</v>
      </c>
      <c r="N159" s="152">
        <f t="shared" si="42"/>
        <v>-805200</v>
      </c>
      <c r="O159" s="152">
        <f t="shared" si="42"/>
        <v>-805200</v>
      </c>
      <c r="P159" s="152">
        <f t="shared" si="42"/>
        <v>-805200</v>
      </c>
      <c r="Q159" s="152">
        <f t="shared" si="42"/>
        <v>-805200</v>
      </c>
      <c r="R159" s="132">
        <f t="shared" si="42"/>
        <v>0</v>
      </c>
      <c r="S159" s="132">
        <f t="shared" si="42"/>
        <v>0</v>
      </c>
      <c r="T159" s="132">
        <f t="shared" si="42"/>
        <v>0</v>
      </c>
      <c r="U159" s="132">
        <f t="shared" si="42"/>
        <v>0</v>
      </c>
      <c r="V159" s="132">
        <f t="shared" si="42"/>
        <v>0</v>
      </c>
      <c r="W159" s="132">
        <f t="shared" si="42"/>
        <v>0</v>
      </c>
      <c r="X159" s="132">
        <f t="shared" si="42"/>
        <v>0</v>
      </c>
      <c r="Y159" s="132">
        <f t="shared" si="42"/>
        <v>0</v>
      </c>
      <c r="Z159" s="132">
        <f t="shared" si="42"/>
        <v>0</v>
      </c>
      <c r="AA159" s="132">
        <f t="shared" si="42"/>
        <v>0</v>
      </c>
      <c r="AB159" s="132">
        <f t="shared" si="42"/>
        <v>0</v>
      </c>
      <c r="AC159" s="132">
        <f t="shared" si="42"/>
        <v>0</v>
      </c>
      <c r="AD159" s="132">
        <f t="shared" si="42"/>
        <v>0</v>
      </c>
      <c r="AE159" s="132">
        <f t="shared" si="42"/>
        <v>0</v>
      </c>
      <c r="AF159" s="132">
        <f t="shared" si="42"/>
        <v>0</v>
      </c>
      <c r="AG159" s="132">
        <f t="shared" si="42"/>
        <v>0</v>
      </c>
      <c r="AH159" s="132">
        <f t="shared" si="42"/>
        <v>0</v>
      </c>
      <c r="AI159" s="132">
        <f t="shared" si="42"/>
        <v>0</v>
      </c>
      <c r="AJ159" s="132">
        <f t="shared" si="42"/>
        <v>0</v>
      </c>
      <c r="AK159" s="132">
        <f t="shared" si="42"/>
        <v>0</v>
      </c>
      <c r="AL159" s="133"/>
    </row>
    <row r="160" spans="1:38" s="11" customFormat="1" ht="14.25" customHeight="1" x14ac:dyDescent="0.3">
      <c r="A160" s="109" t="s">
        <v>262</v>
      </c>
      <c r="B160" s="110"/>
      <c r="C160" s="109" t="s">
        <v>64</v>
      </c>
      <c r="D160" s="106"/>
      <c r="E160" s="106"/>
      <c r="F160" s="106"/>
      <c r="G160" s="106"/>
      <c r="H160" s="152">
        <f ca="1">IF(H17&gt;ev_periode_jaar,0,H156+H150+H159)</f>
        <v>971482.13928383356</v>
      </c>
      <c r="I160" s="152">
        <f t="shared" ref="I160:AK160" ca="1" si="43">IF(I17&gt;ev_periode_jaar,0,I156+I150+I159)</f>
        <v>986448.39355232613</v>
      </c>
      <c r="J160" s="152">
        <f t="shared" ca="1" si="43"/>
        <v>1001847.7702605233</v>
      </c>
      <c r="K160" s="152">
        <f t="shared" ca="1" si="43"/>
        <v>1689688.9318571892</v>
      </c>
      <c r="L160" s="152">
        <f t="shared" ca="1" si="43"/>
        <v>1889980.7140401676</v>
      </c>
      <c r="M160" s="152">
        <f t="shared" ca="1" si="43"/>
        <v>2090732.1292211404</v>
      </c>
      <c r="N160" s="152">
        <f t="shared" ca="1" si="43"/>
        <v>2289861.3944330066</v>
      </c>
      <c r="O160" s="152">
        <f t="shared" ca="1" si="43"/>
        <v>2489468.8618159448</v>
      </c>
      <c r="P160" s="152">
        <f t="shared" ca="1" si="43"/>
        <v>2689564.0954134613</v>
      </c>
      <c r="Q160" s="152">
        <f t="shared" ca="1" si="43"/>
        <v>2890156.8505498045</v>
      </c>
      <c r="R160" s="152">
        <f t="shared" ca="1" si="43"/>
        <v>3896457.0776557513</v>
      </c>
      <c r="S160" s="152">
        <f t="shared" ca="1" si="43"/>
        <v>4114798.9652173314</v>
      </c>
      <c r="T160" s="152">
        <f t="shared" ca="1" si="43"/>
        <v>4333668.8266161298</v>
      </c>
      <c r="U160" s="152">
        <f t="shared" ca="1" si="43"/>
        <v>4553077.2213288471</v>
      </c>
      <c r="V160" s="152">
        <f t="shared" ca="1" si="43"/>
        <v>4773034.9200217184</v>
      </c>
      <c r="W160" s="152">
        <f t="shared" si="43"/>
        <v>0</v>
      </c>
      <c r="X160" s="152">
        <f t="shared" si="43"/>
        <v>0</v>
      </c>
      <c r="Y160" s="152">
        <f t="shared" si="43"/>
        <v>0</v>
      </c>
      <c r="Z160" s="152">
        <f t="shared" si="43"/>
        <v>0</v>
      </c>
      <c r="AA160" s="152">
        <f t="shared" si="43"/>
        <v>0</v>
      </c>
      <c r="AB160" s="152">
        <f t="shared" si="43"/>
        <v>0</v>
      </c>
      <c r="AC160" s="152">
        <f t="shared" si="43"/>
        <v>0</v>
      </c>
      <c r="AD160" s="152">
        <f t="shared" si="43"/>
        <v>0</v>
      </c>
      <c r="AE160" s="152">
        <f t="shared" si="43"/>
        <v>0</v>
      </c>
      <c r="AF160" s="152">
        <f t="shared" si="43"/>
        <v>0</v>
      </c>
      <c r="AG160" s="152">
        <f t="shared" si="43"/>
        <v>0</v>
      </c>
      <c r="AH160" s="152">
        <f t="shared" si="43"/>
        <v>0</v>
      </c>
      <c r="AI160" s="152">
        <f t="shared" si="43"/>
        <v>0</v>
      </c>
      <c r="AJ160" s="152">
        <f t="shared" si="43"/>
        <v>0</v>
      </c>
      <c r="AK160" s="132">
        <f t="shared" si="43"/>
        <v>0</v>
      </c>
    </row>
    <row r="161" spans="1:37" s="11" customFormat="1" ht="14.25" customHeight="1" x14ac:dyDescent="0.3">
      <c r="A161" s="350" t="s">
        <v>263</v>
      </c>
      <c r="B161" s="354"/>
      <c r="C161" s="354" t="s">
        <v>64</v>
      </c>
      <c r="D161" s="356"/>
      <c r="E161" s="356"/>
      <c r="F161" s="356"/>
      <c r="G161" s="356"/>
      <c r="H161" s="352">
        <f ca="1">IF(H17&gt;ev_periode_jaar,0,H160*$B$134-H110)</f>
        <v>242870.53482095839</v>
      </c>
      <c r="I161" s="352">
        <f t="shared" ref="I161:AK161" ca="1" si="44">IF(I17&gt;ev_periode_jaar,0,I160*$B$134-I110)</f>
        <v>246612.09838808153</v>
      </c>
      <c r="J161" s="352">
        <f t="shared" ca="1" si="44"/>
        <v>250461.94256513083</v>
      </c>
      <c r="K161" s="352">
        <f t="shared" ca="1" si="44"/>
        <v>422422.23296429729</v>
      </c>
      <c r="L161" s="352">
        <f t="shared" ca="1" si="44"/>
        <v>472495.17851004191</v>
      </c>
      <c r="M161" s="352">
        <f t="shared" ca="1" si="44"/>
        <v>522683.0323052851</v>
      </c>
      <c r="N161" s="352">
        <f t="shared" ca="1" si="44"/>
        <v>572465.34860825166</v>
      </c>
      <c r="O161" s="352">
        <f t="shared" ca="1" si="44"/>
        <v>622367.21545398619</v>
      </c>
      <c r="P161" s="352">
        <f t="shared" ca="1" si="44"/>
        <v>672391.02385336533</v>
      </c>
      <c r="Q161" s="352">
        <f t="shared" ca="1" si="44"/>
        <v>722539.21263745113</v>
      </c>
      <c r="R161" s="352">
        <f t="shared" ca="1" si="44"/>
        <v>974114.26941393781</v>
      </c>
      <c r="S161" s="352">
        <f t="shared" ca="1" si="44"/>
        <v>1028699.7413043329</v>
      </c>
      <c r="T161" s="352">
        <f t="shared" ca="1" si="44"/>
        <v>1083417.2066540325</v>
      </c>
      <c r="U161" s="352">
        <f t="shared" ca="1" si="44"/>
        <v>1138269.3053322118</v>
      </c>
      <c r="V161" s="352">
        <f t="shared" ca="1" si="44"/>
        <v>1193258.7300054296</v>
      </c>
      <c r="W161" s="352">
        <f t="shared" si="44"/>
        <v>0</v>
      </c>
      <c r="X161" s="352">
        <f t="shared" si="44"/>
        <v>0</v>
      </c>
      <c r="Y161" s="352">
        <f t="shared" si="44"/>
        <v>0</v>
      </c>
      <c r="Z161" s="352">
        <f t="shared" si="44"/>
        <v>0</v>
      </c>
      <c r="AA161" s="352">
        <f t="shared" si="44"/>
        <v>0</v>
      </c>
      <c r="AB161" s="352">
        <f t="shared" si="44"/>
        <v>0</v>
      </c>
      <c r="AC161" s="352">
        <f t="shared" si="44"/>
        <v>0</v>
      </c>
      <c r="AD161" s="352">
        <f t="shared" si="44"/>
        <v>0</v>
      </c>
      <c r="AE161" s="352">
        <f t="shared" si="44"/>
        <v>0</v>
      </c>
      <c r="AF161" s="352">
        <f t="shared" si="44"/>
        <v>0</v>
      </c>
      <c r="AG161" s="352">
        <f t="shared" si="44"/>
        <v>0</v>
      </c>
      <c r="AH161" s="352">
        <f t="shared" si="44"/>
        <v>0</v>
      </c>
      <c r="AI161" s="352">
        <f t="shared" si="44"/>
        <v>0</v>
      </c>
      <c r="AJ161" s="352">
        <f t="shared" si="44"/>
        <v>0</v>
      </c>
      <c r="AK161" s="352">
        <f t="shared" si="44"/>
        <v>0</v>
      </c>
    </row>
    <row r="162" spans="1:37" s="11" customFormat="1" ht="14.25" customHeight="1" x14ac:dyDescent="0.3">
      <c r="A162" s="109"/>
      <c r="B162" s="110"/>
      <c r="G162" s="109"/>
      <c r="H162" s="152"/>
      <c r="I162" s="152"/>
      <c r="J162" s="152"/>
      <c r="K162" s="152"/>
      <c r="L162" s="152"/>
      <c r="M162" s="152"/>
      <c r="N162" s="152"/>
      <c r="O162" s="152"/>
      <c r="P162" s="152"/>
      <c r="Q162" s="152"/>
      <c r="R162" s="110"/>
      <c r="S162" s="110"/>
      <c r="T162" s="110"/>
      <c r="U162" s="110"/>
      <c r="V162" s="110"/>
      <c r="W162" s="110"/>
      <c r="X162" s="110"/>
      <c r="Y162" s="110"/>
      <c r="Z162" s="110"/>
      <c r="AA162" s="110"/>
      <c r="AB162" s="110"/>
      <c r="AC162" s="110"/>
      <c r="AD162" s="110"/>
      <c r="AE162" s="110"/>
      <c r="AF162" s="110"/>
      <c r="AG162" s="110"/>
      <c r="AH162" s="110"/>
      <c r="AI162" s="110"/>
      <c r="AJ162" s="110"/>
      <c r="AK162" s="110"/>
    </row>
    <row r="163" spans="1:37" s="11" customFormat="1" ht="14.25" customHeight="1" x14ac:dyDescent="0.3">
      <c r="A163" s="66" t="s">
        <v>264</v>
      </c>
      <c r="B163" s="31"/>
      <c r="C163" s="87" t="s">
        <v>252</v>
      </c>
      <c r="H163" s="110"/>
      <c r="I163" s="110"/>
      <c r="J163" s="110"/>
      <c r="K163" s="110"/>
      <c r="L163" s="110"/>
      <c r="M163" s="110"/>
      <c r="N163" s="110"/>
      <c r="O163" s="110"/>
      <c r="P163" s="110"/>
      <c r="Q163" s="110"/>
      <c r="R163" s="110"/>
      <c r="S163" s="110"/>
      <c r="T163" s="110"/>
      <c r="U163" s="110"/>
      <c r="V163" s="110"/>
      <c r="W163" s="110"/>
      <c r="X163" s="110"/>
      <c r="Y163" s="110"/>
      <c r="Z163" s="110"/>
      <c r="AA163" s="110"/>
      <c r="AB163" s="110"/>
      <c r="AC163" s="110"/>
      <c r="AD163" s="110"/>
      <c r="AE163" s="110"/>
      <c r="AF163" s="110"/>
      <c r="AG163" s="110"/>
      <c r="AH163" s="110"/>
      <c r="AI163" s="110"/>
      <c r="AJ163" s="110"/>
      <c r="AK163" s="110"/>
    </row>
    <row r="164" spans="1:37" s="11" customFormat="1" ht="14.25" customHeight="1" x14ac:dyDescent="0.3">
      <c r="A164" s="350" t="s">
        <v>265</v>
      </c>
      <c r="B164" s="350"/>
      <c r="C164" s="350"/>
      <c r="D164" s="350"/>
      <c r="E164" s="350"/>
      <c r="F164" s="350"/>
      <c r="G164" s="350"/>
      <c r="H164" s="357"/>
      <c r="I164" s="357"/>
      <c r="J164" s="357"/>
      <c r="K164" s="357"/>
      <c r="L164" s="357"/>
      <c r="M164" s="357"/>
      <c r="N164" s="357"/>
      <c r="O164" s="357"/>
      <c r="P164" s="357"/>
      <c r="Q164" s="357"/>
      <c r="R164" s="357"/>
      <c r="S164" s="357"/>
      <c r="T164" s="357"/>
      <c r="U164" s="357"/>
      <c r="V164" s="357"/>
      <c r="W164" s="357"/>
      <c r="X164" s="357"/>
      <c r="Y164" s="357"/>
      <c r="Z164" s="357"/>
      <c r="AA164" s="357"/>
      <c r="AB164" s="357"/>
      <c r="AC164" s="357"/>
      <c r="AD164" s="357"/>
      <c r="AE164" s="357"/>
      <c r="AF164" s="357"/>
      <c r="AG164" s="357"/>
      <c r="AH164" s="357"/>
      <c r="AI164" s="357"/>
      <c r="AJ164" s="357"/>
      <c r="AK164" s="357"/>
    </row>
    <row r="165" spans="1:37" s="11" customFormat="1" ht="14.25" customHeight="1" x14ac:dyDescent="0.3">
      <c r="A165" s="109" t="s">
        <v>266</v>
      </c>
      <c r="B165" s="110"/>
      <c r="C165" s="11" t="s">
        <v>64</v>
      </c>
      <c r="D165" s="111">
        <f>D150+D156-D161</f>
        <v>0</v>
      </c>
      <c r="E165" s="111">
        <f>E150+E156-E161</f>
        <v>0</v>
      </c>
      <c r="F165" s="111">
        <f>F150+F156-F161</f>
        <v>-8052000</v>
      </c>
      <c r="G165" s="111">
        <f>G150+G156-G161</f>
        <v>0</v>
      </c>
      <c r="H165" s="152">
        <f ca="1">IF(H17&gt;ev_periode_jaar,0,H150+H156-H161)</f>
        <v>1533811.6044628751</v>
      </c>
      <c r="I165" s="152">
        <f t="shared" ref="I165:AK165" ca="1" si="45">IF(I17&gt;ev_periode_jaar,0,I150+I156-I161)</f>
        <v>1545036.2951642447</v>
      </c>
      <c r="J165" s="152">
        <f t="shared" ca="1" si="45"/>
        <v>1556585.8276953925</v>
      </c>
      <c r="K165" s="152">
        <f t="shared" ca="1" si="45"/>
        <v>2072466.6988928919</v>
      </c>
      <c r="L165" s="152">
        <f t="shared" ca="1" si="45"/>
        <v>2222685.5355301257</v>
      </c>
      <c r="M165" s="152">
        <f t="shared" ca="1" si="45"/>
        <v>2373249.0969158551</v>
      </c>
      <c r="N165" s="152">
        <f t="shared" ca="1" si="45"/>
        <v>2522596.045824755</v>
      </c>
      <c r="O165" s="152">
        <f t="shared" ca="1" si="45"/>
        <v>2672301.6463619587</v>
      </c>
      <c r="P165" s="152">
        <f t="shared" ca="1" si="45"/>
        <v>2822373.071560096</v>
      </c>
      <c r="Q165" s="152">
        <f t="shared" ca="1" si="45"/>
        <v>2972817.6379123535</v>
      </c>
      <c r="R165" s="152">
        <f t="shared" ca="1" si="45"/>
        <v>2922342.8082418134</v>
      </c>
      <c r="S165" s="152">
        <f t="shared" ca="1" si="45"/>
        <v>3086099.2239129986</v>
      </c>
      <c r="T165" s="152">
        <f t="shared" ca="1" si="45"/>
        <v>3250251.6199620971</v>
      </c>
      <c r="U165" s="152">
        <f t="shared" ca="1" si="45"/>
        <v>3414807.9159966353</v>
      </c>
      <c r="V165" s="152">
        <f t="shared" ca="1" si="45"/>
        <v>3579776.1900162888</v>
      </c>
      <c r="W165" s="152">
        <f t="shared" si="45"/>
        <v>0</v>
      </c>
      <c r="X165" s="152">
        <f t="shared" si="45"/>
        <v>0</v>
      </c>
      <c r="Y165" s="152">
        <f t="shared" si="45"/>
        <v>0</v>
      </c>
      <c r="Z165" s="152">
        <f t="shared" si="45"/>
        <v>0</v>
      </c>
      <c r="AA165" s="152">
        <f t="shared" si="45"/>
        <v>0</v>
      </c>
      <c r="AB165" s="152">
        <f t="shared" si="45"/>
        <v>0</v>
      </c>
      <c r="AC165" s="152">
        <f t="shared" si="45"/>
        <v>0</v>
      </c>
      <c r="AD165" s="152">
        <f t="shared" si="45"/>
        <v>0</v>
      </c>
      <c r="AE165" s="152">
        <f t="shared" si="45"/>
        <v>0</v>
      </c>
      <c r="AF165" s="152">
        <f t="shared" si="45"/>
        <v>0</v>
      </c>
      <c r="AG165" s="152">
        <f t="shared" si="45"/>
        <v>0</v>
      </c>
      <c r="AH165" s="152">
        <f t="shared" si="45"/>
        <v>0</v>
      </c>
      <c r="AI165" s="152">
        <f t="shared" si="45"/>
        <v>0</v>
      </c>
      <c r="AJ165" s="152">
        <f t="shared" si="45"/>
        <v>0</v>
      </c>
      <c r="AK165" s="152">
        <f t="shared" si="45"/>
        <v>0</v>
      </c>
    </row>
    <row r="166" spans="1:37" s="11" customFormat="1" ht="14.25" customHeight="1" x14ac:dyDescent="0.3">
      <c r="A166" s="109" t="s">
        <v>267</v>
      </c>
      <c r="B166" s="109"/>
      <c r="C166" s="11" t="s">
        <v>64</v>
      </c>
      <c r="D166" s="111">
        <f t="shared" ref="D166:AK166" si="46">D165+SUM(D108:D109)</f>
        <v>0</v>
      </c>
      <c r="E166" s="111">
        <f t="shared" si="46"/>
        <v>0</v>
      </c>
      <c r="F166" s="111">
        <f t="shared" si="46"/>
        <v>-8052000</v>
      </c>
      <c r="G166" s="111">
        <f t="shared" si="46"/>
        <v>0</v>
      </c>
      <c r="H166" s="152">
        <f t="shared" ca="1" si="46"/>
        <v>1533811.6044628751</v>
      </c>
      <c r="I166" s="152">
        <f t="shared" ca="1" si="46"/>
        <v>1545036.2951642447</v>
      </c>
      <c r="J166" s="152">
        <f t="shared" ca="1" si="46"/>
        <v>1556585.8276953925</v>
      </c>
      <c r="K166" s="152">
        <f t="shared" ca="1" si="46"/>
        <v>2072466.6988928919</v>
      </c>
      <c r="L166" s="152">
        <f t="shared" ca="1" si="46"/>
        <v>2222685.5355301257</v>
      </c>
      <c r="M166" s="152">
        <f t="shared" ca="1" si="46"/>
        <v>2373249.0969158551</v>
      </c>
      <c r="N166" s="152">
        <f t="shared" ca="1" si="46"/>
        <v>2522596.045824755</v>
      </c>
      <c r="O166" s="152">
        <f t="shared" ca="1" si="46"/>
        <v>2672301.6463619587</v>
      </c>
      <c r="P166" s="152">
        <f t="shared" ca="1" si="46"/>
        <v>2822373.071560096</v>
      </c>
      <c r="Q166" s="152">
        <f t="shared" ca="1" si="46"/>
        <v>2972817.6379123535</v>
      </c>
      <c r="R166" s="152">
        <f t="shared" ca="1" si="46"/>
        <v>2922342.8082418134</v>
      </c>
      <c r="S166" s="152">
        <f t="shared" ca="1" si="46"/>
        <v>3086099.2239129986</v>
      </c>
      <c r="T166" s="152">
        <f t="shared" ca="1" si="46"/>
        <v>3250251.6199620971</v>
      </c>
      <c r="U166" s="152">
        <f t="shared" ca="1" si="46"/>
        <v>3414807.9159966353</v>
      </c>
      <c r="V166" s="152">
        <f t="shared" ca="1" si="46"/>
        <v>3579776.1900162888</v>
      </c>
      <c r="W166" s="152">
        <f t="shared" si="46"/>
        <v>0</v>
      </c>
      <c r="X166" s="152">
        <f t="shared" si="46"/>
        <v>0</v>
      </c>
      <c r="Y166" s="152">
        <f t="shared" si="46"/>
        <v>0</v>
      </c>
      <c r="Z166" s="152">
        <f t="shared" si="46"/>
        <v>0</v>
      </c>
      <c r="AA166" s="152">
        <f t="shared" si="46"/>
        <v>0</v>
      </c>
      <c r="AB166" s="152">
        <f t="shared" si="46"/>
        <v>0</v>
      </c>
      <c r="AC166" s="152">
        <f t="shared" si="46"/>
        <v>0</v>
      </c>
      <c r="AD166" s="152">
        <f t="shared" si="46"/>
        <v>0</v>
      </c>
      <c r="AE166" s="152">
        <f t="shared" si="46"/>
        <v>0</v>
      </c>
      <c r="AF166" s="152">
        <f t="shared" si="46"/>
        <v>0</v>
      </c>
      <c r="AG166" s="152">
        <f t="shared" si="46"/>
        <v>0</v>
      </c>
      <c r="AH166" s="152">
        <f t="shared" si="46"/>
        <v>0</v>
      </c>
      <c r="AI166" s="152">
        <f t="shared" si="46"/>
        <v>0</v>
      </c>
      <c r="AJ166" s="152">
        <f t="shared" si="46"/>
        <v>0</v>
      </c>
      <c r="AK166" s="152">
        <f t="shared" si="46"/>
        <v>0</v>
      </c>
    </row>
    <row r="167" spans="1:37" s="11" customFormat="1" ht="14.25" customHeight="1" x14ac:dyDescent="0.3">
      <c r="A167" s="66"/>
      <c r="B167" s="31"/>
      <c r="R167" s="124"/>
      <c r="S167" s="124"/>
      <c r="T167" s="124"/>
      <c r="U167" s="124"/>
      <c r="V167" s="124"/>
      <c r="W167" s="124"/>
      <c r="X167" s="124"/>
      <c r="Y167" s="124"/>
      <c r="Z167" s="124"/>
      <c r="AA167" s="124"/>
      <c r="AB167" s="124"/>
      <c r="AC167" s="124"/>
      <c r="AD167" s="124"/>
      <c r="AE167" s="124"/>
      <c r="AF167" s="124"/>
      <c r="AG167" s="124"/>
      <c r="AH167" s="124"/>
      <c r="AI167" s="124"/>
      <c r="AJ167" s="124"/>
      <c r="AK167" s="124"/>
    </row>
    <row r="168" spans="1:37" s="11" customFormat="1" ht="14.25" customHeight="1" x14ac:dyDescent="0.3">
      <c r="A168" s="66" t="s">
        <v>268</v>
      </c>
      <c r="B168" s="31"/>
      <c r="C168" s="87" t="s">
        <v>252</v>
      </c>
      <c r="D168" s="105"/>
      <c r="E168" s="105"/>
      <c r="F168" s="105"/>
      <c r="G168" s="105"/>
      <c r="H168" s="105"/>
      <c r="I168" s="105"/>
      <c r="J168" s="105"/>
      <c r="K168" s="105"/>
      <c r="L168" s="105"/>
      <c r="M168" s="105"/>
      <c r="N168" s="105"/>
      <c r="O168" s="105"/>
      <c r="P168" s="105"/>
      <c r="Q168" s="105"/>
      <c r="R168" s="124"/>
      <c r="S168" s="124"/>
      <c r="T168" s="124"/>
      <c r="U168" s="124"/>
      <c r="V168" s="124"/>
      <c r="W168" s="124"/>
      <c r="X168" s="124"/>
      <c r="Y168" s="124"/>
      <c r="Z168" s="124"/>
      <c r="AA168" s="124"/>
      <c r="AB168" s="124"/>
      <c r="AC168" s="124"/>
      <c r="AD168" s="124"/>
      <c r="AE168" s="124"/>
      <c r="AF168" s="124"/>
      <c r="AG168" s="124"/>
      <c r="AH168" s="124"/>
      <c r="AI168" s="124"/>
      <c r="AJ168" s="124"/>
      <c r="AK168" s="124"/>
    </row>
    <row r="169" spans="1:37" s="11" customFormat="1" ht="14.25" customHeight="1" x14ac:dyDescent="0.3">
      <c r="A169" s="107" t="s">
        <v>269</v>
      </c>
      <c r="B169" s="107"/>
      <c r="C169" s="107" t="s">
        <v>64</v>
      </c>
      <c r="D169" s="107">
        <f>D166/(1+$B$135)^D143</f>
        <v>0</v>
      </c>
      <c r="E169" s="107">
        <f>E166/(1+$B$135)^E143</f>
        <v>0</v>
      </c>
      <c r="F169" s="149">
        <f>F166/(1+$B$135)^F143</f>
        <v>-8294767.7999999998</v>
      </c>
      <c r="G169" s="107">
        <f>G166/(1+$B$135)^G143</f>
        <v>0</v>
      </c>
      <c r="H169" s="149">
        <f t="shared" ref="H169:AK169" ca="1" si="47">IF(H17&gt;ev_periode_jaar,0,H166/(1+$B$135)^H143)</f>
        <v>1488920.6469571181</v>
      </c>
      <c r="I169" s="149">
        <f t="shared" ca="1" si="47"/>
        <v>1455920.8058035949</v>
      </c>
      <c r="J169" s="149">
        <f t="shared" ca="1" si="47"/>
        <v>1423874.3656505137</v>
      </c>
      <c r="K169" s="149">
        <f t="shared" ca="1" si="47"/>
        <v>1840287.5728244211</v>
      </c>
      <c r="L169" s="149">
        <f t="shared" ca="1" si="47"/>
        <v>1915912.5795028065</v>
      </c>
      <c r="M169" s="149">
        <f t="shared" ca="1" si="47"/>
        <v>1985822.9388986621</v>
      </c>
      <c r="N169" s="149">
        <f t="shared" ca="1" si="47"/>
        <v>2049011.7202494873</v>
      </c>
      <c r="O169" s="149">
        <f t="shared" ca="1" si="47"/>
        <v>2107083.490333295</v>
      </c>
      <c r="P169" s="149">
        <f t="shared" ca="1" si="47"/>
        <v>2160280.8609390333</v>
      </c>
      <c r="Q169" s="149">
        <f t="shared" ca="1" si="47"/>
        <v>2208836.6531759305</v>
      </c>
      <c r="R169" s="149">
        <f t="shared" ca="1" si="47"/>
        <v>2107783.6158952187</v>
      </c>
      <c r="S169" s="149">
        <f t="shared" ca="1" si="47"/>
        <v>2160748.8120590923</v>
      </c>
      <c r="T169" s="149">
        <f t="shared" ca="1" si="47"/>
        <v>2209077.3058627215</v>
      </c>
      <c r="U169" s="149">
        <f t="shared" ca="1" si="47"/>
        <v>2252992.4861587351</v>
      </c>
      <c r="V169" s="149">
        <f t="shared" ca="1" si="47"/>
        <v>2292708.6635832866</v>
      </c>
      <c r="W169" s="149">
        <f t="shared" si="47"/>
        <v>0</v>
      </c>
      <c r="X169" s="149">
        <f t="shared" si="47"/>
        <v>0</v>
      </c>
      <c r="Y169" s="149">
        <f t="shared" si="47"/>
        <v>0</v>
      </c>
      <c r="Z169" s="149">
        <f t="shared" si="47"/>
        <v>0</v>
      </c>
      <c r="AA169" s="149">
        <f t="shared" si="47"/>
        <v>0</v>
      </c>
      <c r="AB169" s="149">
        <f t="shared" si="47"/>
        <v>0</v>
      </c>
      <c r="AC169" s="149">
        <f t="shared" si="47"/>
        <v>0</v>
      </c>
      <c r="AD169" s="149">
        <f t="shared" si="47"/>
        <v>0</v>
      </c>
      <c r="AE169" s="149">
        <f t="shared" si="47"/>
        <v>0</v>
      </c>
      <c r="AF169" s="149">
        <f t="shared" si="47"/>
        <v>0</v>
      </c>
      <c r="AG169" s="149">
        <f t="shared" si="47"/>
        <v>0</v>
      </c>
      <c r="AH169" s="149">
        <f t="shared" si="47"/>
        <v>0</v>
      </c>
      <c r="AI169" s="149">
        <f t="shared" si="47"/>
        <v>0</v>
      </c>
      <c r="AJ169" s="149">
        <f t="shared" si="47"/>
        <v>0</v>
      </c>
      <c r="AK169" s="149">
        <f t="shared" si="47"/>
        <v>0</v>
      </c>
    </row>
    <row r="170" spans="1:37" s="11" customFormat="1" ht="14.25" customHeight="1" x14ac:dyDescent="0.3">
      <c r="A170" s="109" t="s">
        <v>270</v>
      </c>
      <c r="B170" s="109"/>
      <c r="C170" s="11" t="s">
        <v>64</v>
      </c>
      <c r="D170" s="111">
        <f>D169</f>
        <v>0</v>
      </c>
      <c r="E170" s="111">
        <f>D170+E169</f>
        <v>0</v>
      </c>
      <c r="F170" s="111">
        <f t="shared" ref="F170:G170" si="48">E170+F169</f>
        <v>-8294767.7999999998</v>
      </c>
      <c r="G170" s="111">
        <f t="shared" si="48"/>
        <v>-8294767.7999999998</v>
      </c>
      <c r="H170" s="111">
        <f t="shared" ref="H170:AK170" ca="1" si="49">IF(H17&gt;ev_periode_jaar,0,G170+H169)</f>
        <v>-6805847.1530428817</v>
      </c>
      <c r="I170" s="111">
        <f t="shared" ca="1" si="49"/>
        <v>-5349926.3472392866</v>
      </c>
      <c r="J170" s="111">
        <f t="shared" ca="1" si="49"/>
        <v>-3926051.981588773</v>
      </c>
      <c r="K170" s="111">
        <f t="shared" ca="1" si="49"/>
        <v>-2085764.4087643519</v>
      </c>
      <c r="L170" s="111">
        <f t="shared" ca="1" si="49"/>
        <v>-169851.82926154532</v>
      </c>
      <c r="M170" s="111">
        <f t="shared" ca="1" si="49"/>
        <v>1815971.1096371168</v>
      </c>
      <c r="N170" s="111">
        <f t="shared" ca="1" si="49"/>
        <v>3864982.8298866041</v>
      </c>
      <c r="O170" s="111">
        <f t="shared" ca="1" si="49"/>
        <v>5972066.3202198986</v>
      </c>
      <c r="P170" s="111">
        <f t="shared" ca="1" si="49"/>
        <v>8132347.1811589319</v>
      </c>
      <c r="Q170" s="111">
        <f t="shared" ca="1" si="49"/>
        <v>10341183.834334861</v>
      </c>
      <c r="R170" s="111">
        <f t="shared" ca="1" si="49"/>
        <v>12448967.450230081</v>
      </c>
      <c r="S170" s="111">
        <f t="shared" ca="1" si="49"/>
        <v>14609716.262289174</v>
      </c>
      <c r="T170" s="111">
        <f t="shared" ca="1" si="49"/>
        <v>16818793.568151895</v>
      </c>
      <c r="U170" s="111">
        <f t="shared" ca="1" si="49"/>
        <v>19071786.054310631</v>
      </c>
      <c r="V170" s="111">
        <f t="shared" ca="1" si="49"/>
        <v>21364494.717893917</v>
      </c>
      <c r="W170" s="111">
        <f t="shared" si="49"/>
        <v>0</v>
      </c>
      <c r="X170" s="111">
        <f t="shared" si="49"/>
        <v>0</v>
      </c>
      <c r="Y170" s="111">
        <f t="shared" si="49"/>
        <v>0</v>
      </c>
      <c r="Z170" s="111">
        <f t="shared" si="49"/>
        <v>0</v>
      </c>
      <c r="AA170" s="111">
        <f t="shared" si="49"/>
        <v>0</v>
      </c>
      <c r="AB170" s="111">
        <f t="shared" si="49"/>
        <v>0</v>
      </c>
      <c r="AC170" s="111">
        <f t="shared" si="49"/>
        <v>0</v>
      </c>
      <c r="AD170" s="111">
        <f t="shared" si="49"/>
        <v>0</v>
      </c>
      <c r="AE170" s="111">
        <f t="shared" si="49"/>
        <v>0</v>
      </c>
      <c r="AF170" s="111">
        <f t="shared" si="49"/>
        <v>0</v>
      </c>
      <c r="AG170" s="111">
        <f t="shared" si="49"/>
        <v>0</v>
      </c>
      <c r="AH170" s="111">
        <f t="shared" si="49"/>
        <v>0</v>
      </c>
      <c r="AI170" s="111">
        <f t="shared" si="49"/>
        <v>0</v>
      </c>
      <c r="AJ170" s="111">
        <f t="shared" si="49"/>
        <v>0</v>
      </c>
      <c r="AK170" s="111">
        <f t="shared" si="49"/>
        <v>0</v>
      </c>
    </row>
    <row r="171" spans="1:37" s="11" customFormat="1" ht="14.25" customHeight="1" x14ac:dyDescent="0.3">
      <c r="A171" s="109" t="s">
        <v>271</v>
      </c>
      <c r="B171" s="109"/>
      <c r="D171" s="111"/>
      <c r="E171" s="111">
        <f>IFERROR(IF(E170&lt;0,1,-D166/E169),0)</f>
        <v>0</v>
      </c>
      <c r="F171" s="111">
        <f t="shared" ref="F171:G171" si="50">IF(F170&lt;0,1,-E166/F169)</f>
        <v>1</v>
      </c>
      <c r="G171" s="111">
        <f t="shared" si="50"/>
        <v>1</v>
      </c>
      <c r="H171" s="111">
        <f t="shared" ref="H171:AK171" ca="1" si="51">IF(H17&gt;ev_periode_jaar,0,IF(H170&lt;0,1,-G166/H169))</f>
        <v>1</v>
      </c>
      <c r="I171" s="111">
        <f t="shared" ca="1" si="51"/>
        <v>1</v>
      </c>
      <c r="J171" s="111">
        <f t="shared" ca="1" si="51"/>
        <v>1</v>
      </c>
      <c r="K171" s="111">
        <f ca="1">IF(K17&gt;ev_periode_jaar,0,IF(K170&lt;0,1,-J166/K169))</f>
        <v>1</v>
      </c>
      <c r="L171" s="111">
        <f t="shared" ca="1" si="51"/>
        <v>1</v>
      </c>
      <c r="M171" s="111">
        <f t="shared" ca="1" si="51"/>
        <v>-1.1192767955247953</v>
      </c>
      <c r="N171" s="111">
        <f t="shared" ca="1" si="51"/>
        <v>-1.1582408599531528</v>
      </c>
      <c r="O171" s="111">
        <f t="shared" ca="1" si="51"/>
        <v>-1.1971979550870739</v>
      </c>
      <c r="P171" s="111">
        <f t="shared" ca="1" si="51"/>
        <v>-1.2370158411718555</v>
      </c>
      <c r="Q171" s="111">
        <f t="shared" ca="1" si="51"/>
        <v>-1.2777645044517008</v>
      </c>
      <c r="R171" s="111">
        <f t="shared" ca="1" si="51"/>
        <v>-1.410399822587926</v>
      </c>
      <c r="S171" s="111">
        <f t="shared" ca="1" si="51"/>
        <v>-1.3524676223040279</v>
      </c>
      <c r="T171" s="111">
        <f t="shared" ca="1" si="51"/>
        <v>-1.397008251238075</v>
      </c>
      <c r="U171" s="111">
        <f t="shared" ca="1" si="51"/>
        <v>-1.4426375764366841</v>
      </c>
      <c r="V171" s="111">
        <f t="shared" ca="1" si="51"/>
        <v>-1.4894207756251132</v>
      </c>
      <c r="W171" s="111">
        <f t="shared" si="51"/>
        <v>0</v>
      </c>
      <c r="X171" s="111">
        <f t="shared" si="51"/>
        <v>0</v>
      </c>
      <c r="Y171" s="111">
        <f t="shared" si="51"/>
        <v>0</v>
      </c>
      <c r="Z171" s="111">
        <f t="shared" si="51"/>
        <v>0</v>
      </c>
      <c r="AA171" s="111">
        <f t="shared" si="51"/>
        <v>0</v>
      </c>
      <c r="AB171" s="111">
        <f t="shared" si="51"/>
        <v>0</v>
      </c>
      <c r="AC171" s="111">
        <f t="shared" si="51"/>
        <v>0</v>
      </c>
      <c r="AD171" s="111">
        <f t="shared" si="51"/>
        <v>0</v>
      </c>
      <c r="AE171" s="111">
        <f t="shared" si="51"/>
        <v>0</v>
      </c>
      <c r="AF171" s="111">
        <f t="shared" si="51"/>
        <v>0</v>
      </c>
      <c r="AG171" s="111">
        <f t="shared" si="51"/>
        <v>0</v>
      </c>
      <c r="AH171" s="111">
        <f t="shared" si="51"/>
        <v>0</v>
      </c>
      <c r="AI171" s="111">
        <f t="shared" si="51"/>
        <v>0</v>
      </c>
      <c r="AJ171" s="111">
        <f t="shared" si="51"/>
        <v>0</v>
      </c>
      <c r="AK171" s="111">
        <f t="shared" si="51"/>
        <v>0</v>
      </c>
    </row>
    <row r="172" spans="1:37" s="11" customFormat="1" ht="14.25" customHeight="1" x14ac:dyDescent="0.3">
      <c r="A172" s="109"/>
      <c r="B172" s="109"/>
      <c r="D172" s="111"/>
      <c r="E172" s="111"/>
      <c r="F172" s="111"/>
      <c r="G172" s="111"/>
      <c r="H172" s="111"/>
      <c r="I172" s="111"/>
      <c r="J172" s="111"/>
      <c r="K172" s="111"/>
      <c r="L172" s="111"/>
      <c r="M172" s="111"/>
      <c r="N172" s="111"/>
      <c r="O172" s="111"/>
      <c r="P172" s="111"/>
      <c r="Q172" s="111"/>
      <c r="R172" s="111"/>
      <c r="S172" s="111"/>
      <c r="T172" s="111"/>
      <c r="U172" s="111"/>
      <c r="V172" s="111"/>
      <c r="W172" s="111"/>
      <c r="X172" s="111"/>
      <c r="Y172" s="111"/>
      <c r="Z172" s="111"/>
      <c r="AA172" s="111"/>
      <c r="AB172" s="111"/>
      <c r="AC172" s="111"/>
      <c r="AD172" s="111"/>
      <c r="AE172" s="111"/>
      <c r="AF172" s="111"/>
      <c r="AG172" s="111"/>
      <c r="AH172" s="111"/>
      <c r="AI172" s="111"/>
      <c r="AJ172" s="111"/>
      <c r="AK172" s="111"/>
    </row>
    <row r="173" spans="1:37" s="11" customFormat="1" ht="14.25" customHeight="1" x14ac:dyDescent="0.3">
      <c r="A173" s="109"/>
      <c r="B173" s="109"/>
      <c r="D173" s="111"/>
      <c r="E173" s="111"/>
      <c r="F173" s="111"/>
      <c r="G173" s="111"/>
      <c r="H173" s="111"/>
      <c r="I173" s="111"/>
      <c r="J173" s="111"/>
      <c r="K173" s="111"/>
      <c r="L173" s="111"/>
      <c r="M173" s="111"/>
      <c r="N173" s="111"/>
      <c r="O173" s="111"/>
      <c r="P173" s="111"/>
      <c r="Q173" s="111"/>
      <c r="R173" s="111"/>
      <c r="S173" s="111"/>
      <c r="T173" s="111"/>
      <c r="U173" s="111"/>
      <c r="V173" s="111"/>
      <c r="W173" s="111"/>
      <c r="X173" s="111"/>
      <c r="Y173" s="111"/>
      <c r="Z173" s="111"/>
      <c r="AA173" s="111"/>
      <c r="AB173" s="111"/>
      <c r="AC173" s="111"/>
      <c r="AD173" s="111"/>
      <c r="AE173" s="111"/>
      <c r="AF173" s="111"/>
      <c r="AG173" s="111"/>
      <c r="AH173" s="111"/>
      <c r="AI173" s="111"/>
      <c r="AJ173" s="111"/>
      <c r="AK173" s="111"/>
    </row>
    <row r="174" spans="1:37" s="11" customFormat="1" ht="14.25" customHeight="1" x14ac:dyDescent="0.3">
      <c r="A174" s="109"/>
      <c r="B174" s="109"/>
      <c r="D174" s="111"/>
      <c r="E174" s="111"/>
      <c r="F174" s="111"/>
      <c r="G174" s="111"/>
      <c r="H174" s="111"/>
      <c r="I174" s="111"/>
      <c r="J174" s="111"/>
      <c r="K174" s="111"/>
      <c r="L174" s="111"/>
      <c r="M174" s="111"/>
      <c r="N174" s="111"/>
      <c r="O174" s="111"/>
      <c r="P174" s="111"/>
      <c r="Q174" s="111"/>
      <c r="R174" s="111"/>
      <c r="S174" s="111"/>
      <c r="T174" s="111"/>
      <c r="U174" s="111"/>
      <c r="V174" s="111"/>
      <c r="W174" s="111"/>
      <c r="X174" s="111"/>
      <c r="Y174" s="111"/>
      <c r="Z174" s="111"/>
      <c r="AA174" s="111"/>
      <c r="AB174" s="111"/>
      <c r="AC174" s="111"/>
      <c r="AD174" s="111"/>
      <c r="AE174" s="111"/>
      <c r="AF174" s="111"/>
      <c r="AG174" s="111"/>
      <c r="AH174" s="111"/>
      <c r="AI174" s="111"/>
      <c r="AJ174" s="111"/>
      <c r="AK174" s="111"/>
    </row>
    <row r="175" spans="1:37" s="11" customFormat="1" ht="14.25" customHeight="1" x14ac:dyDescent="0.3">
      <c r="A175" s="109"/>
      <c r="B175" s="109"/>
      <c r="D175" s="118"/>
      <c r="E175" s="118"/>
      <c r="F175" s="118"/>
      <c r="G175" s="118"/>
      <c r="H175" s="118"/>
      <c r="I175" s="118"/>
      <c r="J175" s="118"/>
      <c r="K175" s="118"/>
      <c r="L175" s="118"/>
      <c r="M175" s="118"/>
      <c r="N175" s="118"/>
      <c r="O175" s="118"/>
      <c r="P175" s="118"/>
      <c r="Q175" s="118"/>
      <c r="R175" s="125"/>
      <c r="S175" s="109"/>
      <c r="T175" s="109"/>
    </row>
    <row r="176" spans="1:37" s="11" customFormat="1" ht="14.25" customHeight="1" x14ac:dyDescent="0.3">
      <c r="B176" s="109"/>
      <c r="C176" s="105"/>
      <c r="D176" s="105"/>
      <c r="E176" s="105"/>
      <c r="F176" s="105"/>
      <c r="G176" s="106"/>
      <c r="H176" s="106"/>
      <c r="I176" s="106"/>
      <c r="J176" s="106"/>
      <c r="K176" s="106"/>
      <c r="L176" s="106"/>
      <c r="M176" s="106"/>
      <c r="N176" s="106"/>
      <c r="O176" s="106"/>
      <c r="P176" s="106"/>
      <c r="Q176" s="106"/>
      <c r="R176" s="114"/>
      <c r="S176" s="138"/>
    </row>
    <row r="177" spans="1:18" s="109" customFormat="1" ht="21" x14ac:dyDescent="0.4">
      <c r="A177" s="115" t="s">
        <v>272</v>
      </c>
      <c r="B177" s="151">
        <f ca="1">SUM(D169:G169)+NPV($B$135,H166:AK166)</f>
        <v>21364494.717893906</v>
      </c>
      <c r="D177" s="144"/>
      <c r="E177" s="126"/>
      <c r="F177" s="126"/>
      <c r="G177" s="123"/>
      <c r="H177" s="111"/>
      <c r="I177" s="111"/>
      <c r="J177" s="111"/>
      <c r="K177" s="111"/>
      <c r="L177" s="111"/>
      <c r="M177" s="111"/>
      <c r="N177" s="111"/>
      <c r="Q177" s="111"/>
      <c r="R177" s="113"/>
    </row>
    <row r="178" spans="1:18" s="11" customFormat="1" ht="18.600000000000001" customHeight="1" x14ac:dyDescent="0.4">
      <c r="A178" s="115" t="s">
        <v>273</v>
      </c>
      <c r="B178" s="147">
        <f ca="1">IFERROR(IRR(D166:AK166),"/")</f>
        <v>0.20303938731478044</v>
      </c>
      <c r="R178" s="114"/>
    </row>
    <row r="179" spans="1:18" s="11" customFormat="1" ht="18.600000000000001" customHeight="1" x14ac:dyDescent="0.4">
      <c r="A179" s="115" t="s">
        <v>68</v>
      </c>
      <c r="B179" s="371">
        <f ca="1">IF(SUMIF(E171:AK171,"&gt;0")-SUMIF(E171:Q171,"&gt;1")&gt;ev_periode_jaar,"/",ROUND(SUMIF(E171:AK171,"&gt;0")-SUMIF(E171:Q171,"&gt;1"),2))</f>
        <v>7</v>
      </c>
      <c r="C179" s="148"/>
    </row>
    <row r="180" spans="1:18" s="11" customFormat="1" ht="18.600000000000001" customHeight="1" x14ac:dyDescent="0.4">
      <c r="A180" s="115" t="s">
        <v>274</v>
      </c>
      <c r="B180" s="147">
        <f ca="1">B177/ABS(SUM(D169:G169))</f>
        <v>2.5756591664800919</v>
      </c>
      <c r="Q180" s="159"/>
    </row>
    <row r="181" spans="1:18" s="11" customFormat="1" ht="18.600000000000001" customHeight="1" x14ac:dyDescent="0.4">
      <c r="A181" s="115"/>
      <c r="B181" s="147"/>
    </row>
    <row r="182" spans="1:18" s="11" customFormat="1" ht="18.600000000000001" customHeight="1" x14ac:dyDescent="0.4">
      <c r="A182" s="115"/>
      <c r="B182" s="147"/>
    </row>
    <row r="183" spans="1:18" s="127" customFormat="1" x14ac:dyDescent="0.2">
      <c r="A183" s="1"/>
      <c r="B183" s="3"/>
      <c r="C183" s="1"/>
      <c r="D183" s="1"/>
      <c r="E183" s="1"/>
      <c r="F183" s="1"/>
      <c r="G183" s="1"/>
      <c r="H183" s="1"/>
      <c r="I183" s="1"/>
      <c r="J183" s="1"/>
      <c r="K183" s="1"/>
      <c r="L183" s="1"/>
      <c r="M183" s="1"/>
      <c r="N183" s="1"/>
      <c r="O183" s="1"/>
      <c r="P183" s="1"/>
      <c r="Q183" s="1"/>
      <c r="R183" s="1"/>
    </row>
    <row r="184" spans="1:18" s="127" customFormat="1" x14ac:dyDescent="0.2">
      <c r="A184" s="1"/>
      <c r="B184" s="3"/>
      <c r="C184" s="1"/>
      <c r="D184" s="1"/>
      <c r="E184" s="1"/>
      <c r="F184" s="1"/>
      <c r="G184" s="1"/>
      <c r="H184" s="1"/>
      <c r="I184" s="1"/>
      <c r="J184" s="1"/>
      <c r="K184" s="1"/>
      <c r="L184" s="1"/>
      <c r="M184" s="1"/>
      <c r="N184" s="1"/>
      <c r="O184" s="1"/>
      <c r="P184" s="1"/>
      <c r="Q184" s="1"/>
      <c r="R184" s="1"/>
    </row>
    <row r="185" spans="1:18" s="127" customFormat="1" x14ac:dyDescent="0.2">
      <c r="A185" s="1"/>
      <c r="B185" s="3"/>
      <c r="C185" s="1"/>
      <c r="D185" s="1"/>
      <c r="E185" s="1"/>
      <c r="F185" s="1"/>
      <c r="G185" s="1"/>
      <c r="H185" s="1"/>
      <c r="I185" s="1"/>
      <c r="J185" s="1"/>
      <c r="K185" s="1"/>
      <c r="L185" s="1"/>
      <c r="M185" s="1"/>
      <c r="N185" s="1"/>
      <c r="O185" s="1"/>
      <c r="P185" s="1"/>
      <c r="Q185" s="1"/>
      <c r="R185" s="1"/>
    </row>
    <row r="186" spans="1:18" s="11" customFormat="1" ht="14.25" customHeight="1" x14ac:dyDescent="0.3"/>
    <row r="187" spans="1:18" s="11" customFormat="1" ht="14.25" customHeight="1" x14ac:dyDescent="0.3"/>
    <row r="188" spans="1:18" s="11" customFormat="1" ht="14.25" customHeight="1" x14ac:dyDescent="0.3"/>
    <row r="189" spans="1:18" s="11" customFormat="1" ht="14.25" customHeight="1" x14ac:dyDescent="0.3"/>
    <row r="190" spans="1:18" s="11" customFormat="1" ht="14.25" customHeight="1" x14ac:dyDescent="0.3"/>
    <row r="191" spans="1:18" s="11" customFormat="1" ht="14.25" customHeight="1" x14ac:dyDescent="0.3"/>
    <row r="192" spans="1:18" s="11" customFormat="1" ht="14.25" customHeight="1" x14ac:dyDescent="0.3"/>
    <row r="193" spans="1:37" s="11" customFormat="1" ht="14.25" customHeight="1" x14ac:dyDescent="0.3"/>
    <row r="194" spans="1:37" s="11" customFormat="1" ht="14.25" customHeight="1" x14ac:dyDescent="0.3"/>
    <row r="195" spans="1:37" s="11" customFormat="1" ht="14.25" customHeight="1" x14ac:dyDescent="0.3"/>
    <row r="196" spans="1:37" s="11" customFormat="1" ht="14.25" customHeight="1" x14ac:dyDescent="0.3"/>
    <row r="197" spans="1:37" s="11" customFormat="1" ht="14.25" customHeight="1" x14ac:dyDescent="0.3"/>
    <row r="198" spans="1:37" s="11" customFormat="1" ht="14.25" customHeight="1" x14ac:dyDescent="0.3"/>
    <row r="199" spans="1:37" s="11" customFormat="1" ht="14.25" customHeight="1" x14ac:dyDescent="0.3"/>
    <row r="200" spans="1:37" s="11" customFormat="1" ht="14.25" customHeight="1" x14ac:dyDescent="0.3"/>
    <row r="201" spans="1:37" s="11" customFormat="1" ht="14.25" customHeight="1" x14ac:dyDescent="0.3"/>
    <row r="202" spans="1:37" s="11" customFormat="1" ht="14.25" customHeight="1" x14ac:dyDescent="0.3"/>
    <row r="203" spans="1:37" s="11" customFormat="1" ht="14.25" customHeight="1" x14ac:dyDescent="0.3">
      <c r="A203" s="12" t="s">
        <v>275</v>
      </c>
      <c r="B203" s="12"/>
      <c r="C203" s="12"/>
      <c r="D203" s="12"/>
      <c r="E203" s="12"/>
      <c r="F203" s="12"/>
      <c r="G203" s="12"/>
      <c r="H203" s="12"/>
      <c r="I203" s="12"/>
      <c r="J203" s="12"/>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row>
    <row r="204" spans="1:37" s="11" customFormat="1" ht="14.25" customHeight="1" x14ac:dyDescent="0.3">
      <c r="A204" s="406" t="s">
        <v>276</v>
      </c>
      <c r="B204" s="406"/>
      <c r="C204" s="406"/>
      <c r="D204" s="406"/>
      <c r="E204" s="406"/>
      <c r="F204" s="406"/>
      <c r="G204" s="406"/>
      <c r="H204" s="406"/>
      <c r="I204" s="406"/>
      <c r="J204" s="406"/>
      <c r="K204" s="406"/>
      <c r="L204" s="406"/>
      <c r="M204" s="406"/>
      <c r="N204" s="406"/>
      <c r="O204" s="406"/>
      <c r="P204" s="406"/>
      <c r="Q204" s="406"/>
      <c r="R204" s="406"/>
      <c r="S204" s="406"/>
      <c r="T204" s="406"/>
      <c r="U204" s="406"/>
      <c r="V204" s="406"/>
      <c r="W204" s="406"/>
      <c r="X204" s="406"/>
      <c r="Y204" s="406"/>
      <c r="Z204" s="406"/>
      <c r="AA204" s="406"/>
      <c r="AB204" s="406"/>
      <c r="AC204" s="406"/>
      <c r="AD204" s="406"/>
      <c r="AE204" s="406"/>
      <c r="AF204" s="406"/>
      <c r="AG204" s="406"/>
      <c r="AH204" s="406"/>
      <c r="AI204" s="406"/>
      <c r="AJ204" s="406"/>
      <c r="AK204" s="406"/>
    </row>
    <row r="205" spans="1:37" s="11" customFormat="1" ht="14.25" customHeight="1" x14ac:dyDescent="0.3">
      <c r="A205" s="158"/>
      <c r="B205" s="158"/>
      <c r="C205" s="158"/>
      <c r="D205" s="158"/>
      <c r="E205" s="158"/>
      <c r="F205" s="158"/>
      <c r="G205" s="158"/>
      <c r="H205" s="158"/>
      <c r="I205" s="158"/>
      <c r="J205" s="158"/>
      <c r="K205" s="158"/>
      <c r="L205" s="158"/>
      <c r="M205" s="158"/>
      <c r="N205" s="158"/>
      <c r="O205" s="158"/>
      <c r="P205" s="158"/>
      <c r="Q205" s="158"/>
      <c r="R205" s="158"/>
      <c r="S205" s="158"/>
      <c r="T205" s="158"/>
      <c r="U205" s="158"/>
      <c r="V205" s="158"/>
      <c r="W205" s="158"/>
      <c r="X205" s="158"/>
      <c r="Y205" s="158"/>
      <c r="Z205" s="158"/>
      <c r="AA205" s="158"/>
      <c r="AB205" s="158"/>
      <c r="AC205" s="158"/>
      <c r="AD205" s="158"/>
      <c r="AE205" s="158"/>
      <c r="AF205" s="158"/>
      <c r="AG205" s="158"/>
      <c r="AH205" s="158"/>
      <c r="AI205" s="158"/>
      <c r="AJ205" s="158"/>
      <c r="AK205" s="158"/>
    </row>
    <row r="206" spans="1:37" s="11" customFormat="1" ht="14.25" customHeight="1" x14ac:dyDescent="0.3">
      <c r="A206" s="54" t="s">
        <v>76</v>
      </c>
      <c r="B206" s="202"/>
      <c r="O206" s="1"/>
    </row>
    <row r="207" spans="1:37" s="11" customFormat="1" ht="14.25" customHeight="1" x14ac:dyDescent="0.3">
      <c r="A207" s="139" t="s">
        <v>185</v>
      </c>
      <c r="B207" s="139"/>
      <c r="C207" s="140"/>
      <c r="D207" s="108">
        <f t="shared" ref="D207:AK207" si="52">D17</f>
        <v>-3</v>
      </c>
      <c r="E207" s="108">
        <f t="shared" si="52"/>
        <v>-2</v>
      </c>
      <c r="F207" s="108">
        <f t="shared" si="52"/>
        <v>-1</v>
      </c>
      <c r="G207" s="108">
        <f t="shared" si="52"/>
        <v>0</v>
      </c>
      <c r="H207" s="108">
        <f t="shared" si="52"/>
        <v>1</v>
      </c>
      <c r="I207" s="108">
        <f t="shared" si="52"/>
        <v>2</v>
      </c>
      <c r="J207" s="108">
        <f t="shared" si="52"/>
        <v>3</v>
      </c>
      <c r="K207" s="108">
        <f t="shared" si="52"/>
        <v>4</v>
      </c>
      <c r="L207" s="108">
        <f t="shared" si="52"/>
        <v>5</v>
      </c>
      <c r="M207" s="108">
        <f t="shared" si="52"/>
        <v>6</v>
      </c>
      <c r="N207" s="108">
        <f t="shared" si="52"/>
        <v>7</v>
      </c>
      <c r="O207" s="108">
        <f t="shared" si="52"/>
        <v>8</v>
      </c>
      <c r="P207" s="108">
        <f t="shared" si="52"/>
        <v>9</v>
      </c>
      <c r="Q207" s="108">
        <f t="shared" si="52"/>
        <v>10</v>
      </c>
      <c r="R207" s="108">
        <f t="shared" si="52"/>
        <v>11</v>
      </c>
      <c r="S207" s="108">
        <f t="shared" si="52"/>
        <v>12</v>
      </c>
      <c r="T207" s="108">
        <f t="shared" si="52"/>
        <v>13</v>
      </c>
      <c r="U207" s="108">
        <f t="shared" si="52"/>
        <v>14</v>
      </c>
      <c r="V207" s="108">
        <f t="shared" si="52"/>
        <v>15</v>
      </c>
      <c r="W207" s="108">
        <f t="shared" si="52"/>
        <v>16</v>
      </c>
      <c r="X207" s="108">
        <f t="shared" si="52"/>
        <v>17</v>
      </c>
      <c r="Y207" s="108">
        <f t="shared" si="52"/>
        <v>18</v>
      </c>
      <c r="Z207" s="108">
        <f t="shared" si="52"/>
        <v>19</v>
      </c>
      <c r="AA207" s="108">
        <f t="shared" si="52"/>
        <v>20</v>
      </c>
      <c r="AB207" s="108">
        <f t="shared" si="52"/>
        <v>21</v>
      </c>
      <c r="AC207" s="108">
        <f t="shared" si="52"/>
        <v>22</v>
      </c>
      <c r="AD207" s="108">
        <f t="shared" si="52"/>
        <v>23</v>
      </c>
      <c r="AE207" s="108">
        <f t="shared" si="52"/>
        <v>24</v>
      </c>
      <c r="AF207" s="108">
        <f t="shared" si="52"/>
        <v>25</v>
      </c>
      <c r="AG207" s="108">
        <f t="shared" si="52"/>
        <v>26</v>
      </c>
      <c r="AH207" s="108">
        <f t="shared" si="52"/>
        <v>27</v>
      </c>
      <c r="AI207" s="108">
        <f t="shared" si="52"/>
        <v>28</v>
      </c>
      <c r="AJ207" s="108">
        <f t="shared" si="52"/>
        <v>29</v>
      </c>
      <c r="AK207" s="108">
        <f t="shared" si="52"/>
        <v>30</v>
      </c>
    </row>
    <row r="208" spans="1:37" s="11" customFormat="1" ht="14.25" customHeight="1" x14ac:dyDescent="0.3">
      <c r="A208" s="141" t="s">
        <v>250</v>
      </c>
      <c r="B208" s="142"/>
      <c r="C208" s="143"/>
      <c r="D208" s="143"/>
      <c r="E208" s="143"/>
      <c r="F208" s="143"/>
      <c r="G208" s="143"/>
      <c r="H208" s="143">
        <f t="shared" ref="H208:AK208" si="53">IF(H17&gt;ev_periode_jaar,0,POWER(1+$B$129,H207-$H$143))</f>
        <v>1</v>
      </c>
      <c r="I208" s="143">
        <f t="shared" si="53"/>
        <v>1.02</v>
      </c>
      <c r="J208" s="143">
        <f t="shared" si="53"/>
        <v>1.0404</v>
      </c>
      <c r="K208" s="143">
        <f t="shared" si="53"/>
        <v>1.0612079999999999</v>
      </c>
      <c r="L208" s="143">
        <f t="shared" si="53"/>
        <v>1.08243216</v>
      </c>
      <c r="M208" s="143">
        <f t="shared" si="53"/>
        <v>1.1040808032</v>
      </c>
      <c r="N208" s="143">
        <f t="shared" si="53"/>
        <v>1.1261624192640001</v>
      </c>
      <c r="O208" s="143">
        <f t="shared" si="53"/>
        <v>1.1486856676492798</v>
      </c>
      <c r="P208" s="143">
        <f t="shared" si="53"/>
        <v>1.1716593810022655</v>
      </c>
      <c r="Q208" s="143">
        <f t="shared" si="53"/>
        <v>1.1950925686223108</v>
      </c>
      <c r="R208" s="143">
        <f t="shared" si="53"/>
        <v>1.2189944199947571</v>
      </c>
      <c r="S208" s="143">
        <f t="shared" si="53"/>
        <v>1.243374308394652</v>
      </c>
      <c r="T208" s="143">
        <f t="shared" si="53"/>
        <v>1.2682417945625453</v>
      </c>
      <c r="U208" s="143">
        <f t="shared" si="53"/>
        <v>1.2936066304537961</v>
      </c>
      <c r="V208" s="143">
        <f t="shared" si="53"/>
        <v>1.3194787630628722</v>
      </c>
      <c r="W208" s="143">
        <f t="shared" si="53"/>
        <v>0</v>
      </c>
      <c r="X208" s="143">
        <f t="shared" si="53"/>
        <v>0</v>
      </c>
      <c r="Y208" s="143">
        <f t="shared" si="53"/>
        <v>0</v>
      </c>
      <c r="Z208" s="143">
        <f t="shared" si="53"/>
        <v>0</v>
      </c>
      <c r="AA208" s="143">
        <f t="shared" si="53"/>
        <v>0</v>
      </c>
      <c r="AB208" s="143">
        <f t="shared" si="53"/>
        <v>0</v>
      </c>
      <c r="AC208" s="143">
        <f t="shared" si="53"/>
        <v>0</v>
      </c>
      <c r="AD208" s="143">
        <f t="shared" si="53"/>
        <v>0</v>
      </c>
      <c r="AE208" s="143">
        <f t="shared" si="53"/>
        <v>0</v>
      </c>
      <c r="AF208" s="143">
        <f t="shared" si="53"/>
        <v>0</v>
      </c>
      <c r="AG208" s="143">
        <f t="shared" si="53"/>
        <v>0</v>
      </c>
      <c r="AH208" s="143">
        <f t="shared" si="53"/>
        <v>0</v>
      </c>
      <c r="AI208" s="143">
        <f t="shared" si="53"/>
        <v>0</v>
      </c>
      <c r="AJ208" s="143">
        <f t="shared" si="53"/>
        <v>0</v>
      </c>
      <c r="AK208" s="143">
        <f t="shared" si="53"/>
        <v>0</v>
      </c>
    </row>
    <row r="209" spans="1:37" s="11" customFormat="1" ht="14.25" customHeight="1" x14ac:dyDescent="0.3">
      <c r="A209" s="120"/>
      <c r="B209" s="121"/>
      <c r="C209" s="121"/>
      <c r="D209" s="121"/>
      <c r="E209" s="121"/>
      <c r="F209" s="121"/>
      <c r="G209" s="121"/>
      <c r="H209" s="121"/>
      <c r="I209" s="121"/>
      <c r="J209" s="121"/>
      <c r="K209" s="121"/>
      <c r="L209" s="121"/>
      <c r="M209" s="121"/>
      <c r="N209" s="121"/>
      <c r="O209" s="121"/>
      <c r="P209" s="121"/>
      <c r="Q209" s="121"/>
      <c r="R209" s="119"/>
      <c r="S209" s="119"/>
      <c r="T209" s="119"/>
      <c r="U209" s="119"/>
      <c r="V209" s="119"/>
      <c r="W209" s="119"/>
      <c r="X209" s="119"/>
      <c r="Y209" s="119"/>
      <c r="Z209" s="119"/>
      <c r="AA209" s="119"/>
      <c r="AB209" s="119"/>
      <c r="AC209" s="119"/>
      <c r="AD209" s="119"/>
      <c r="AE209" s="119"/>
      <c r="AF209" s="119"/>
      <c r="AG209" s="119"/>
      <c r="AH209" s="119"/>
      <c r="AI209" s="119"/>
      <c r="AJ209" s="119"/>
      <c r="AK209" s="119"/>
    </row>
    <row r="210" spans="1:37" s="11" customFormat="1" ht="14.25" customHeight="1" x14ac:dyDescent="0.3">
      <c r="A210" s="66" t="s">
        <v>251</v>
      </c>
      <c r="B210" s="121"/>
      <c r="C210" s="87" t="s">
        <v>252</v>
      </c>
      <c r="D210" s="121"/>
      <c r="E210" s="121"/>
      <c r="F210" s="121"/>
      <c r="G210" s="121"/>
      <c r="H210" s="121"/>
      <c r="I210" s="121"/>
      <c r="J210" s="121"/>
      <c r="K210" s="121"/>
      <c r="L210" s="121"/>
      <c r="M210" s="121"/>
      <c r="N210" s="121"/>
      <c r="O210" s="121"/>
      <c r="P210" s="121"/>
      <c r="Q210" s="121"/>
      <c r="R210" s="119"/>
      <c r="S210" s="119"/>
      <c r="T210" s="119"/>
      <c r="U210" s="119"/>
      <c r="V210" s="119"/>
      <c r="W210" s="119"/>
      <c r="X210" s="119"/>
      <c r="Y210" s="119"/>
      <c r="Z210" s="119"/>
      <c r="AA210" s="119"/>
      <c r="AB210" s="119"/>
      <c r="AC210" s="119"/>
      <c r="AD210" s="119"/>
      <c r="AE210" s="119"/>
      <c r="AF210" s="119"/>
      <c r="AG210" s="119"/>
      <c r="AH210" s="119"/>
      <c r="AI210" s="119"/>
      <c r="AJ210" s="119"/>
      <c r="AK210" s="119"/>
    </row>
    <row r="211" spans="1:37" s="11" customFormat="1" ht="14.25" customHeight="1" x14ac:dyDescent="0.3">
      <c r="A211" s="11" t="s">
        <v>253</v>
      </c>
      <c r="B211" s="121"/>
      <c r="C211" s="87"/>
      <c r="D211" s="106">
        <f>-ABS(D34)-ABS(D122)</f>
        <v>0</v>
      </c>
      <c r="E211" s="106">
        <f>-ABS(E34)-ABS(E122)</f>
        <v>0</v>
      </c>
      <c r="F211" s="106">
        <f>-ABS(F34)-ABS(F122)</f>
        <v>-8052000</v>
      </c>
      <c r="G211" s="106">
        <f>-ABS(G34)-ABS(G122)</f>
        <v>0</v>
      </c>
      <c r="H211" s="121"/>
      <c r="I211" s="121"/>
      <c r="J211" s="121"/>
      <c r="K211" s="121"/>
      <c r="L211" s="121"/>
      <c r="M211" s="121"/>
      <c r="N211" s="121"/>
      <c r="O211" s="121"/>
      <c r="P211" s="121"/>
      <c r="Q211" s="121"/>
      <c r="R211" s="119"/>
      <c r="S211" s="119"/>
      <c r="T211" s="119"/>
      <c r="U211" s="119"/>
      <c r="V211" s="119"/>
      <c r="W211" s="119"/>
      <c r="X211" s="119"/>
      <c r="Y211" s="119"/>
      <c r="Z211" s="119"/>
      <c r="AA211" s="119"/>
      <c r="AB211" s="119"/>
      <c r="AC211" s="119"/>
      <c r="AD211" s="119"/>
      <c r="AE211" s="119"/>
      <c r="AF211" s="119"/>
      <c r="AG211" s="119"/>
      <c r="AH211" s="119"/>
      <c r="AI211" s="119"/>
      <c r="AJ211" s="119"/>
      <c r="AK211" s="119"/>
    </row>
    <row r="212" spans="1:37" s="11" customFormat="1" ht="14.25" customHeight="1" x14ac:dyDescent="0.3">
      <c r="A212" s="11" t="s">
        <v>198</v>
      </c>
      <c r="B212" s="121"/>
      <c r="C212" s="87"/>
      <c r="D212" s="121"/>
      <c r="E212" s="121"/>
      <c r="F212" s="121"/>
      <c r="G212" s="121"/>
      <c r="H212" s="152">
        <f ca="1">IF(H17&gt;ev_periode_jaar,0,IFERROR(-ABS(H48)-ABS(H123),0))</f>
        <v>-448015.2</v>
      </c>
      <c r="I212" s="152">
        <f t="shared" ref="I212:AK212" ca="1" si="54">IF(I17&gt;ev_periode_jaar,0,IFERROR(-ABS(I41)-ABS(I123),0))</f>
        <v>-438231.15</v>
      </c>
      <c r="J212" s="152">
        <f t="shared" ca="1" si="54"/>
        <v>-438943.77299999999</v>
      </c>
      <c r="K212" s="152">
        <f t="shared" ca="1" si="54"/>
        <v>-439670.64846</v>
      </c>
      <c r="L212" s="152">
        <f t="shared" ca="1" si="54"/>
        <v>-440412.0614292</v>
      </c>
      <c r="M212" s="152">
        <f t="shared" ca="1" si="54"/>
        <v>-441168.30265778402</v>
      </c>
      <c r="N212" s="152">
        <f t="shared" ca="1" si="54"/>
        <v>-441939.6687109397</v>
      </c>
      <c r="O212" s="152">
        <f t="shared" ca="1" si="54"/>
        <v>-442726.46208515845</v>
      </c>
      <c r="P212" s="152">
        <f t="shared" ca="1" si="54"/>
        <v>-443528.99132686167</v>
      </c>
      <c r="Q212" s="152">
        <f t="shared" ca="1" si="54"/>
        <v>-444347.57115339889</v>
      </c>
      <c r="R212" s="152">
        <f t="shared" ca="1" si="54"/>
        <v>-445182.52257646684</v>
      </c>
      <c r="S212" s="152">
        <f t="shared" ca="1" si="54"/>
        <v>-446034.17302799621</v>
      </c>
      <c r="T212" s="152">
        <f t="shared" ca="1" si="54"/>
        <v>-446902.85648855614</v>
      </c>
      <c r="U212" s="152">
        <f t="shared" ca="1" si="54"/>
        <v>-447788.91361832723</v>
      </c>
      <c r="V212" s="152">
        <f t="shared" ca="1" si="54"/>
        <v>-448692.69189069379</v>
      </c>
      <c r="W212" s="152">
        <f t="shared" si="54"/>
        <v>0</v>
      </c>
      <c r="X212" s="152">
        <f t="shared" si="54"/>
        <v>0</v>
      </c>
      <c r="Y212" s="152">
        <f t="shared" si="54"/>
        <v>0</v>
      </c>
      <c r="Z212" s="152">
        <f t="shared" si="54"/>
        <v>0</v>
      </c>
      <c r="AA212" s="152">
        <f t="shared" si="54"/>
        <v>0</v>
      </c>
      <c r="AB212" s="152">
        <f t="shared" si="54"/>
        <v>0</v>
      </c>
      <c r="AC212" s="152">
        <f t="shared" si="54"/>
        <v>0</v>
      </c>
      <c r="AD212" s="152">
        <f t="shared" si="54"/>
        <v>0</v>
      </c>
      <c r="AE212" s="152">
        <f t="shared" si="54"/>
        <v>0</v>
      </c>
      <c r="AF212" s="152">
        <f t="shared" si="54"/>
        <v>0</v>
      </c>
      <c r="AG212" s="152">
        <f t="shared" si="54"/>
        <v>0</v>
      </c>
      <c r="AH212" s="152">
        <f t="shared" si="54"/>
        <v>0</v>
      </c>
      <c r="AI212" s="152">
        <f t="shared" si="54"/>
        <v>0</v>
      </c>
      <c r="AJ212" s="152">
        <f t="shared" si="54"/>
        <v>0</v>
      </c>
      <c r="AK212" s="152">
        <f t="shared" si="54"/>
        <v>0</v>
      </c>
    </row>
    <row r="213" spans="1:37" s="11" customFormat="1" ht="14.25" customHeight="1" x14ac:dyDescent="0.3">
      <c r="A213" s="11" t="s">
        <v>209</v>
      </c>
      <c r="B213" s="121"/>
      <c r="C213" s="87"/>
      <c r="D213" s="121"/>
      <c r="E213" s="121"/>
      <c r="F213" s="121"/>
      <c r="G213" s="121"/>
      <c r="H213" s="152">
        <f t="shared" ref="H213:AK213" si="55">IF(H17&gt;ev_periode_jaar,0,IFERROR(-ABS(H61),0))</f>
        <v>-832000.00000000012</v>
      </c>
      <c r="I213" s="152">
        <f t="shared" si="55"/>
        <v>-839329.86771676294</v>
      </c>
      <c r="J213" s="152">
        <f t="shared" si="55"/>
        <v>-846672.53543352592</v>
      </c>
      <c r="K213" s="152">
        <f t="shared" si="55"/>
        <v>-854028.25915028877</v>
      </c>
      <c r="L213" s="152">
        <f t="shared" si="55"/>
        <v>-861397.29998705175</v>
      </c>
      <c r="M213" s="152">
        <f t="shared" si="55"/>
        <v>-868779.92428621463</v>
      </c>
      <c r="N213" s="152">
        <f t="shared" si="55"/>
        <v>-878267.37934408512</v>
      </c>
      <c r="O213" s="152">
        <f t="shared" si="55"/>
        <v>-887768.96663623652</v>
      </c>
      <c r="P213" s="152">
        <f t="shared" si="55"/>
        <v>-897284.96880735469</v>
      </c>
      <c r="Q213" s="152">
        <f t="shared" si="55"/>
        <v>-906815.67415501853</v>
      </c>
      <c r="R213" s="152">
        <f t="shared" si="55"/>
        <v>-916361.37674275925</v>
      </c>
      <c r="S213" s="152">
        <f t="shared" si="55"/>
        <v>-909198.33746869629</v>
      </c>
      <c r="T213" s="152">
        <f t="shared" si="55"/>
        <v>-902050.90132320917</v>
      </c>
      <c r="U213" s="152">
        <f t="shared" si="55"/>
        <v>-894919.38036886952</v>
      </c>
      <c r="V213" s="152">
        <f t="shared" si="55"/>
        <v>-887804.09290950035</v>
      </c>
      <c r="W213" s="152">
        <f t="shared" si="55"/>
        <v>0</v>
      </c>
      <c r="X213" s="152">
        <f t="shared" si="55"/>
        <v>0</v>
      </c>
      <c r="Y213" s="152">
        <f t="shared" si="55"/>
        <v>0</v>
      </c>
      <c r="Z213" s="152">
        <f t="shared" si="55"/>
        <v>0</v>
      </c>
      <c r="AA213" s="152">
        <f t="shared" si="55"/>
        <v>0</v>
      </c>
      <c r="AB213" s="152">
        <f t="shared" si="55"/>
        <v>0</v>
      </c>
      <c r="AC213" s="152">
        <f t="shared" si="55"/>
        <v>0</v>
      </c>
      <c r="AD213" s="152">
        <f t="shared" si="55"/>
        <v>0</v>
      </c>
      <c r="AE213" s="152">
        <f t="shared" si="55"/>
        <v>0</v>
      </c>
      <c r="AF213" s="152">
        <f t="shared" si="55"/>
        <v>0</v>
      </c>
      <c r="AG213" s="152">
        <f t="shared" si="55"/>
        <v>0</v>
      </c>
      <c r="AH213" s="152">
        <f t="shared" si="55"/>
        <v>0</v>
      </c>
      <c r="AI213" s="152">
        <f t="shared" si="55"/>
        <v>0</v>
      </c>
      <c r="AJ213" s="152">
        <f t="shared" si="55"/>
        <v>0</v>
      </c>
      <c r="AK213" s="152">
        <f t="shared" si="55"/>
        <v>0</v>
      </c>
    </row>
    <row r="214" spans="1:37" s="11" customFormat="1" ht="14.25" customHeight="1" x14ac:dyDescent="0.3">
      <c r="A214" s="350" t="s">
        <v>254</v>
      </c>
      <c r="B214" s="350"/>
      <c r="C214" s="350"/>
      <c r="D214" s="351">
        <f>SUM(D211:D213)</f>
        <v>0</v>
      </c>
      <c r="E214" s="351">
        <f t="shared" ref="E214:G214" si="56">SUM(E211:E213)</f>
        <v>0</v>
      </c>
      <c r="F214" s="351">
        <f t="shared" si="56"/>
        <v>-8052000</v>
      </c>
      <c r="G214" s="351">
        <f t="shared" si="56"/>
        <v>0</v>
      </c>
      <c r="H214" s="352">
        <f ca="1">SUM(H211:H213)</f>
        <v>-1280015.2000000002</v>
      </c>
      <c r="I214" s="352">
        <f t="shared" ref="I214:AK214" ca="1" si="57">SUM(I211:I213)</f>
        <v>-1277561.0177167631</v>
      </c>
      <c r="J214" s="352">
        <f t="shared" ca="1" si="57"/>
        <v>-1285616.308433526</v>
      </c>
      <c r="K214" s="352">
        <f t="shared" ca="1" si="57"/>
        <v>-1293698.9076102888</v>
      </c>
      <c r="L214" s="352">
        <f t="shared" ca="1" si="57"/>
        <v>-1301809.3614162519</v>
      </c>
      <c r="M214" s="352">
        <f t="shared" ca="1" si="57"/>
        <v>-1309948.2269439986</v>
      </c>
      <c r="N214" s="352">
        <f t="shared" ca="1" si="57"/>
        <v>-1320207.0480550248</v>
      </c>
      <c r="O214" s="352">
        <f t="shared" ca="1" si="57"/>
        <v>-1330495.4287213949</v>
      </c>
      <c r="P214" s="352">
        <f t="shared" ca="1" si="57"/>
        <v>-1340813.9601342164</v>
      </c>
      <c r="Q214" s="352">
        <f t="shared" ca="1" si="57"/>
        <v>-1351163.2453084174</v>
      </c>
      <c r="R214" s="352">
        <f t="shared" ca="1" si="57"/>
        <v>-1361543.8993192262</v>
      </c>
      <c r="S214" s="352">
        <f t="shared" ca="1" si="57"/>
        <v>-1355232.5104966925</v>
      </c>
      <c r="T214" s="352">
        <f t="shared" ca="1" si="57"/>
        <v>-1348953.7578117652</v>
      </c>
      <c r="U214" s="352">
        <f t="shared" ca="1" si="57"/>
        <v>-1342708.2939871969</v>
      </c>
      <c r="V214" s="352">
        <f t="shared" ca="1" si="57"/>
        <v>-1336496.7848001942</v>
      </c>
      <c r="W214" s="352">
        <f t="shared" si="57"/>
        <v>0</v>
      </c>
      <c r="X214" s="352">
        <f t="shared" si="57"/>
        <v>0</v>
      </c>
      <c r="Y214" s="352">
        <f t="shared" si="57"/>
        <v>0</v>
      </c>
      <c r="Z214" s="352">
        <f t="shared" si="57"/>
        <v>0</v>
      </c>
      <c r="AA214" s="352">
        <f t="shared" si="57"/>
        <v>0</v>
      </c>
      <c r="AB214" s="352">
        <f t="shared" si="57"/>
        <v>0</v>
      </c>
      <c r="AC214" s="352">
        <f t="shared" si="57"/>
        <v>0</v>
      </c>
      <c r="AD214" s="352">
        <f t="shared" si="57"/>
        <v>0</v>
      </c>
      <c r="AE214" s="352">
        <f t="shared" si="57"/>
        <v>0</v>
      </c>
      <c r="AF214" s="352">
        <f t="shared" si="57"/>
        <v>0</v>
      </c>
      <c r="AG214" s="352">
        <f t="shared" si="57"/>
        <v>0</v>
      </c>
      <c r="AH214" s="352">
        <f t="shared" si="57"/>
        <v>0</v>
      </c>
      <c r="AI214" s="352">
        <f t="shared" si="57"/>
        <v>0</v>
      </c>
      <c r="AJ214" s="352">
        <f t="shared" si="57"/>
        <v>0</v>
      </c>
      <c r="AK214" s="352">
        <f t="shared" si="57"/>
        <v>0</v>
      </c>
    </row>
    <row r="215" spans="1:37" s="11" customFormat="1" ht="14.25" customHeight="1" x14ac:dyDescent="0.3">
      <c r="B215" s="31"/>
      <c r="H215" s="110"/>
      <c r="I215" s="110"/>
      <c r="J215" s="110"/>
      <c r="K215" s="110"/>
      <c r="L215" s="110"/>
      <c r="M215" s="110"/>
      <c r="N215" s="110"/>
      <c r="O215" s="110"/>
      <c r="P215" s="110"/>
      <c r="Q215" s="110"/>
      <c r="R215" s="110"/>
      <c r="S215" s="110"/>
      <c r="T215" s="110"/>
      <c r="U215" s="110"/>
      <c r="V215" s="110"/>
      <c r="W215" s="110"/>
      <c r="X215" s="110"/>
      <c r="Y215" s="110"/>
      <c r="Z215" s="110"/>
      <c r="AA215" s="110"/>
      <c r="AB215" s="110"/>
      <c r="AC215" s="110"/>
      <c r="AD215" s="110"/>
      <c r="AE215" s="110"/>
      <c r="AF215" s="110"/>
      <c r="AG215" s="110"/>
      <c r="AH215" s="110"/>
      <c r="AI215" s="110"/>
      <c r="AJ215" s="110"/>
      <c r="AK215" s="110"/>
    </row>
    <row r="216" spans="1:37" s="11" customFormat="1" ht="14.25" customHeight="1" x14ac:dyDescent="0.3">
      <c r="A216" s="66" t="s">
        <v>255</v>
      </c>
      <c r="B216" s="31"/>
      <c r="C216" s="87" t="s">
        <v>252</v>
      </c>
      <c r="H216" s="152"/>
      <c r="I216" s="152"/>
      <c r="J216" s="152"/>
      <c r="K216" s="152"/>
      <c r="L216" s="152"/>
      <c r="M216" s="152"/>
      <c r="N216" s="152"/>
      <c r="O216" s="152"/>
      <c r="P216" s="152"/>
      <c r="Q216" s="152"/>
      <c r="R216" s="110"/>
      <c r="S216" s="110"/>
      <c r="T216" s="110"/>
      <c r="U216" s="110"/>
      <c r="V216" s="110"/>
      <c r="W216" s="110"/>
      <c r="X216" s="110"/>
      <c r="Y216" s="110"/>
      <c r="Z216" s="110"/>
      <c r="AA216" s="110"/>
      <c r="AB216" s="110"/>
      <c r="AC216" s="110"/>
      <c r="AD216" s="110"/>
      <c r="AE216" s="110"/>
      <c r="AF216" s="110"/>
      <c r="AG216" s="110"/>
      <c r="AH216" s="110"/>
      <c r="AI216" s="110"/>
      <c r="AJ216" s="110"/>
      <c r="AK216" s="110"/>
    </row>
    <row r="217" spans="1:37" s="11" customFormat="1" ht="14.25" customHeight="1" x14ac:dyDescent="0.3">
      <c r="A217" s="11" t="s">
        <v>256</v>
      </c>
      <c r="B217" s="31"/>
      <c r="C217" s="11" t="s">
        <v>64</v>
      </c>
      <c r="D217" s="106"/>
      <c r="E217" s="106"/>
      <c r="F217" s="106"/>
      <c r="G217" s="106"/>
      <c r="H217" s="152">
        <f t="shared" ref="H217:AK217" si="58">IF(H17&gt;ev_periode_jaar,0,IFERROR(H22*H25*H102,0))</f>
        <v>0</v>
      </c>
      <c r="I217" s="152">
        <f t="shared" si="58"/>
        <v>0</v>
      </c>
      <c r="J217" s="152">
        <f t="shared" si="58"/>
        <v>0</v>
      </c>
      <c r="K217" s="152">
        <f t="shared" si="58"/>
        <v>384000.00000004296</v>
      </c>
      <c r="L217" s="152">
        <f t="shared" si="58"/>
        <v>671999.99999996857</v>
      </c>
      <c r="M217" s="152">
        <f t="shared" si="58"/>
        <v>960000</v>
      </c>
      <c r="N217" s="152">
        <f t="shared" si="58"/>
        <v>1151999.9999999583</v>
      </c>
      <c r="O217" s="152">
        <f t="shared" si="58"/>
        <v>1343999.9999999371</v>
      </c>
      <c r="P217" s="152">
        <f t="shared" si="58"/>
        <v>1535999.9999999162</v>
      </c>
      <c r="Q217" s="152">
        <f t="shared" si="58"/>
        <v>1727999.9999999802</v>
      </c>
      <c r="R217" s="132">
        <f t="shared" si="58"/>
        <v>1920000</v>
      </c>
      <c r="S217" s="132">
        <f t="shared" si="58"/>
        <v>2112000.0000000233</v>
      </c>
      <c r="T217" s="132">
        <f t="shared" si="58"/>
        <v>2304000.0000000019</v>
      </c>
      <c r="U217" s="132">
        <f t="shared" si="58"/>
        <v>2496000.0000000661</v>
      </c>
      <c r="V217" s="132">
        <f t="shared" si="58"/>
        <v>2688000.0000000452</v>
      </c>
      <c r="W217" s="132">
        <f t="shared" si="58"/>
        <v>0</v>
      </c>
      <c r="X217" s="132">
        <f t="shared" si="58"/>
        <v>0</v>
      </c>
      <c r="Y217" s="132">
        <f t="shared" si="58"/>
        <v>0</v>
      </c>
      <c r="Z217" s="132">
        <f t="shared" si="58"/>
        <v>0</v>
      </c>
      <c r="AA217" s="132">
        <f t="shared" si="58"/>
        <v>0</v>
      </c>
      <c r="AB217" s="132">
        <f t="shared" si="58"/>
        <v>0</v>
      </c>
      <c r="AC217" s="132">
        <f t="shared" si="58"/>
        <v>0</v>
      </c>
      <c r="AD217" s="132">
        <f t="shared" si="58"/>
        <v>0</v>
      </c>
      <c r="AE217" s="132">
        <f t="shared" si="58"/>
        <v>0</v>
      </c>
      <c r="AF217" s="132">
        <f t="shared" si="58"/>
        <v>0</v>
      </c>
      <c r="AG217" s="132">
        <f t="shared" si="58"/>
        <v>0</v>
      </c>
      <c r="AH217" s="132">
        <f t="shared" si="58"/>
        <v>0</v>
      </c>
      <c r="AI217" s="132">
        <f t="shared" si="58"/>
        <v>0</v>
      </c>
      <c r="AJ217" s="132">
        <f t="shared" si="58"/>
        <v>0</v>
      </c>
      <c r="AK217" s="132">
        <f t="shared" si="58"/>
        <v>0</v>
      </c>
    </row>
    <row r="218" spans="1:37" s="11" customFormat="1" ht="14.25" customHeight="1" x14ac:dyDescent="0.3">
      <c r="A218" s="109" t="s">
        <v>257</v>
      </c>
      <c r="B218" s="31"/>
      <c r="C218" s="11" t="s">
        <v>64</v>
      </c>
      <c r="D218" s="106"/>
      <c r="E218" s="106"/>
      <c r="F218" s="106"/>
      <c r="G218" s="106"/>
      <c r="H218" s="152">
        <f t="shared" ref="H218:AK218" si="59">IF(H17&gt;ev_periode_jaar,0,H89)</f>
        <v>2311330.1737756715</v>
      </c>
      <c r="I218" s="152">
        <f t="shared" si="59"/>
        <v>2329109.6366508687</v>
      </c>
      <c r="J218" s="152">
        <f t="shared" si="59"/>
        <v>2347244.6887835707</v>
      </c>
      <c r="K218" s="152">
        <f t="shared" si="59"/>
        <v>2365742.4419589257</v>
      </c>
      <c r="L218" s="152">
        <f t="shared" si="59"/>
        <v>2384610.1501977886</v>
      </c>
      <c r="M218" s="152">
        <f t="shared" si="59"/>
        <v>2403855.2126014284</v>
      </c>
      <c r="N218" s="152">
        <f t="shared" si="59"/>
        <v>2423485.1762531409</v>
      </c>
      <c r="O218" s="152">
        <f t="shared" si="59"/>
        <v>2443507.7391778878</v>
      </c>
      <c r="P218" s="152">
        <f t="shared" si="59"/>
        <v>2463930.7533611297</v>
      </c>
      <c r="Q218" s="152">
        <f t="shared" si="59"/>
        <v>2484762.2278280361</v>
      </c>
      <c r="R218" s="132">
        <f t="shared" si="59"/>
        <v>2506010.3317842814</v>
      </c>
      <c r="S218" s="132">
        <f t="shared" si="59"/>
        <v>2527683.3978196508</v>
      </c>
      <c r="T218" s="132">
        <f t="shared" si="59"/>
        <v>2549789.9251757278</v>
      </c>
      <c r="U218" s="132">
        <f t="shared" si="59"/>
        <v>2572338.5830789264</v>
      </c>
      <c r="V218" s="132">
        <f t="shared" si="59"/>
        <v>2595338.2141401893</v>
      </c>
      <c r="W218" s="132">
        <f t="shared" si="59"/>
        <v>0</v>
      </c>
      <c r="X218" s="132">
        <f t="shared" si="59"/>
        <v>0</v>
      </c>
      <c r="Y218" s="132">
        <f t="shared" si="59"/>
        <v>0</v>
      </c>
      <c r="Z218" s="132">
        <f t="shared" si="59"/>
        <v>0</v>
      </c>
      <c r="AA218" s="132">
        <f t="shared" si="59"/>
        <v>0</v>
      </c>
      <c r="AB218" s="132">
        <f t="shared" si="59"/>
        <v>0</v>
      </c>
      <c r="AC218" s="132">
        <f t="shared" si="59"/>
        <v>0</v>
      </c>
      <c r="AD218" s="132">
        <f t="shared" si="59"/>
        <v>0</v>
      </c>
      <c r="AE218" s="132">
        <f t="shared" si="59"/>
        <v>0</v>
      </c>
      <c r="AF218" s="132">
        <f t="shared" si="59"/>
        <v>0</v>
      </c>
      <c r="AG218" s="132">
        <f t="shared" si="59"/>
        <v>0</v>
      </c>
      <c r="AH218" s="132">
        <f t="shared" si="59"/>
        <v>0</v>
      </c>
      <c r="AI218" s="132">
        <f t="shared" si="59"/>
        <v>0</v>
      </c>
      <c r="AJ218" s="132">
        <f t="shared" si="59"/>
        <v>0</v>
      </c>
      <c r="AK218" s="132">
        <f t="shared" si="59"/>
        <v>0</v>
      </c>
    </row>
    <row r="219" spans="1:37" s="11" customFormat="1" ht="14.25" customHeight="1" x14ac:dyDescent="0.3">
      <c r="A219" s="109" t="s">
        <v>258</v>
      </c>
      <c r="B219" s="31"/>
      <c r="C219" s="11" t="s">
        <v>64</v>
      </c>
      <c r="D219" s="106"/>
      <c r="E219" s="106"/>
      <c r="F219" s="106"/>
      <c r="G219" s="106"/>
      <c r="H219" s="152">
        <f t="shared" ref="H219:V219" si="60">IF(H17&gt;ev_periode_jaar,0,H$113)</f>
        <v>0</v>
      </c>
      <c r="I219" s="152">
        <f t="shared" si="60"/>
        <v>0</v>
      </c>
      <c r="J219" s="152">
        <f t="shared" si="60"/>
        <v>0</v>
      </c>
      <c r="K219" s="152">
        <f t="shared" si="60"/>
        <v>0</v>
      </c>
      <c r="L219" s="152">
        <f t="shared" si="60"/>
        <v>0</v>
      </c>
      <c r="M219" s="152">
        <f t="shared" si="60"/>
        <v>0</v>
      </c>
      <c r="N219" s="152">
        <f t="shared" si="60"/>
        <v>0</v>
      </c>
      <c r="O219" s="152">
        <f t="shared" si="60"/>
        <v>0</v>
      </c>
      <c r="P219" s="152">
        <f t="shared" si="60"/>
        <v>0</v>
      </c>
      <c r="Q219" s="152">
        <f t="shared" si="60"/>
        <v>0</v>
      </c>
      <c r="R219" s="152">
        <f t="shared" si="60"/>
        <v>0</v>
      </c>
      <c r="S219" s="152">
        <f t="shared" si="60"/>
        <v>0</v>
      </c>
      <c r="T219" s="152">
        <f t="shared" si="60"/>
        <v>0</v>
      </c>
      <c r="U219" s="152">
        <f t="shared" si="60"/>
        <v>0</v>
      </c>
      <c r="V219" s="152">
        <f t="shared" si="60"/>
        <v>0</v>
      </c>
      <c r="W219" s="132">
        <f t="shared" ref="W219:AK219" si="61">IF(W17&gt;ev_periode_jaar,0,W$113*$B$19)</f>
        <v>0</v>
      </c>
      <c r="X219" s="132">
        <f t="shared" si="61"/>
        <v>0</v>
      </c>
      <c r="Y219" s="132">
        <f t="shared" si="61"/>
        <v>0</v>
      </c>
      <c r="Z219" s="132">
        <f t="shared" si="61"/>
        <v>0</v>
      </c>
      <c r="AA219" s="132">
        <f t="shared" si="61"/>
        <v>0</v>
      </c>
      <c r="AB219" s="132">
        <f t="shared" si="61"/>
        <v>0</v>
      </c>
      <c r="AC219" s="132">
        <f t="shared" si="61"/>
        <v>0</v>
      </c>
      <c r="AD219" s="132">
        <f t="shared" si="61"/>
        <v>0</v>
      </c>
      <c r="AE219" s="132">
        <f t="shared" si="61"/>
        <v>0</v>
      </c>
      <c r="AF219" s="132">
        <f t="shared" si="61"/>
        <v>0</v>
      </c>
      <c r="AG219" s="132">
        <f t="shared" si="61"/>
        <v>0</v>
      </c>
      <c r="AH219" s="132">
        <f t="shared" si="61"/>
        <v>0</v>
      </c>
      <c r="AI219" s="132">
        <f t="shared" si="61"/>
        <v>0</v>
      </c>
      <c r="AJ219" s="132">
        <f t="shared" si="61"/>
        <v>0</v>
      </c>
      <c r="AK219" s="132">
        <f t="shared" si="61"/>
        <v>0</v>
      </c>
    </row>
    <row r="220" spans="1:37" s="11" customFormat="1" ht="14.25" customHeight="1" x14ac:dyDescent="0.3">
      <c r="A220" s="350" t="s">
        <v>259</v>
      </c>
      <c r="B220" s="354"/>
      <c r="C220" s="354" t="s">
        <v>64</v>
      </c>
      <c r="D220" s="355">
        <f>SUM(D217:D218)</f>
        <v>0</v>
      </c>
      <c r="E220" s="355">
        <f>SUM(E217:E218)</f>
        <v>0</v>
      </c>
      <c r="F220" s="355">
        <f>SUM(F217:F218)</f>
        <v>0</v>
      </c>
      <c r="G220" s="355">
        <f>SUM(G217:G218)</f>
        <v>0</v>
      </c>
      <c r="H220" s="352">
        <f t="shared" ref="H220:AK220" si="62">IF(H17&gt;ev_periode_jaar,0,SUM(H217:H219))</f>
        <v>2311330.1737756715</v>
      </c>
      <c r="I220" s="352">
        <f t="shared" si="62"/>
        <v>2329109.6366508687</v>
      </c>
      <c r="J220" s="352">
        <f t="shared" si="62"/>
        <v>2347244.6887835707</v>
      </c>
      <c r="K220" s="352">
        <f t="shared" si="62"/>
        <v>2749742.4419589685</v>
      </c>
      <c r="L220" s="352">
        <f t="shared" si="62"/>
        <v>3056610.1501977574</v>
      </c>
      <c r="M220" s="352">
        <f t="shared" si="62"/>
        <v>3363855.2126014284</v>
      </c>
      <c r="N220" s="352">
        <f t="shared" si="62"/>
        <v>3575485.176253099</v>
      </c>
      <c r="O220" s="352">
        <f t="shared" si="62"/>
        <v>3787507.7391778249</v>
      </c>
      <c r="P220" s="352">
        <f t="shared" si="62"/>
        <v>3999930.7533610458</v>
      </c>
      <c r="Q220" s="352">
        <f t="shared" si="62"/>
        <v>4212762.2278280165</v>
      </c>
      <c r="R220" s="352">
        <f t="shared" si="62"/>
        <v>4426010.3317842819</v>
      </c>
      <c r="S220" s="352">
        <f t="shared" si="62"/>
        <v>4639683.3978196736</v>
      </c>
      <c r="T220" s="352">
        <f t="shared" si="62"/>
        <v>4853789.9251757301</v>
      </c>
      <c r="U220" s="352">
        <f t="shared" si="62"/>
        <v>5068338.5830789926</v>
      </c>
      <c r="V220" s="352">
        <f t="shared" si="62"/>
        <v>5283338.2141402345</v>
      </c>
      <c r="W220" s="352">
        <f t="shared" si="62"/>
        <v>0</v>
      </c>
      <c r="X220" s="352">
        <f t="shared" si="62"/>
        <v>0</v>
      </c>
      <c r="Y220" s="352">
        <f t="shared" si="62"/>
        <v>0</v>
      </c>
      <c r="Z220" s="352">
        <f t="shared" si="62"/>
        <v>0</v>
      </c>
      <c r="AA220" s="352">
        <f t="shared" si="62"/>
        <v>0</v>
      </c>
      <c r="AB220" s="352">
        <f t="shared" si="62"/>
        <v>0</v>
      </c>
      <c r="AC220" s="352">
        <f t="shared" si="62"/>
        <v>0</v>
      </c>
      <c r="AD220" s="352">
        <f t="shared" si="62"/>
        <v>0</v>
      </c>
      <c r="AE220" s="352">
        <f t="shared" si="62"/>
        <v>0</v>
      </c>
      <c r="AF220" s="352">
        <f t="shared" si="62"/>
        <v>0</v>
      </c>
      <c r="AG220" s="352">
        <f t="shared" si="62"/>
        <v>0</v>
      </c>
      <c r="AH220" s="352">
        <f t="shared" si="62"/>
        <v>0</v>
      </c>
      <c r="AI220" s="352">
        <f t="shared" si="62"/>
        <v>0</v>
      </c>
      <c r="AJ220" s="352">
        <f t="shared" si="62"/>
        <v>0</v>
      </c>
      <c r="AK220" s="352">
        <f t="shared" si="62"/>
        <v>0</v>
      </c>
    </row>
    <row r="221" spans="1:37" s="11" customFormat="1" ht="14.25" customHeight="1" x14ac:dyDescent="0.3">
      <c r="H221" s="110"/>
      <c r="I221" s="110"/>
      <c r="J221" s="110"/>
      <c r="K221" s="110"/>
      <c r="L221" s="110"/>
      <c r="M221" s="110"/>
      <c r="N221" s="110"/>
      <c r="O221" s="110"/>
      <c r="P221" s="110"/>
      <c r="Q221" s="110"/>
      <c r="R221" s="110"/>
      <c r="S221" s="110"/>
      <c r="T221" s="110"/>
      <c r="U221" s="110"/>
      <c r="V221" s="110"/>
      <c r="W221" s="110"/>
      <c r="X221" s="110"/>
      <c r="Y221" s="110"/>
      <c r="Z221" s="110"/>
      <c r="AA221" s="110"/>
      <c r="AB221" s="110"/>
      <c r="AC221" s="110"/>
      <c r="AD221" s="110"/>
      <c r="AE221" s="110"/>
      <c r="AF221" s="110"/>
      <c r="AG221" s="110"/>
      <c r="AH221" s="110"/>
      <c r="AI221" s="110"/>
      <c r="AJ221" s="110"/>
      <c r="AK221" s="110"/>
    </row>
    <row r="222" spans="1:37" s="11" customFormat="1" ht="14.25" customHeight="1" x14ac:dyDescent="0.3">
      <c r="A222" s="113" t="s">
        <v>260</v>
      </c>
      <c r="B222" s="110"/>
      <c r="C222" s="87" t="s">
        <v>252</v>
      </c>
      <c r="G222" s="109"/>
      <c r="H222" s="152"/>
      <c r="I222" s="152"/>
      <c r="J222" s="152"/>
      <c r="K222" s="152"/>
      <c r="L222" s="152"/>
      <c r="M222" s="152"/>
      <c r="N222" s="152"/>
      <c r="O222" s="152"/>
      <c r="P222" s="152"/>
      <c r="Q222" s="152"/>
      <c r="R222" s="110"/>
      <c r="S222" s="110"/>
      <c r="T222" s="110"/>
      <c r="U222" s="110"/>
      <c r="V222" s="110"/>
      <c r="W222" s="110"/>
      <c r="X222" s="110"/>
      <c r="Y222" s="110"/>
      <c r="Z222" s="110"/>
      <c r="AA222" s="110"/>
      <c r="AB222" s="110"/>
      <c r="AC222" s="110"/>
      <c r="AD222" s="110"/>
      <c r="AE222" s="110"/>
      <c r="AF222" s="110"/>
      <c r="AG222" s="110"/>
      <c r="AH222" s="110"/>
      <c r="AI222" s="110"/>
      <c r="AJ222" s="110"/>
      <c r="AK222" s="110"/>
    </row>
    <row r="223" spans="1:37" s="11" customFormat="1" ht="14.25" customHeight="1" x14ac:dyDescent="0.3">
      <c r="A223" s="11" t="s">
        <v>261</v>
      </c>
      <c r="B223" s="31"/>
      <c r="C223" s="11" t="s">
        <v>64</v>
      </c>
      <c r="D223" s="106"/>
      <c r="E223" s="106"/>
      <c r="F223" s="106"/>
      <c r="G223" s="106"/>
      <c r="H223" s="152">
        <f t="shared" ref="H223:AK223" si="63">IF(H17&gt;$B$128,0,-ABS(SUM($D$34:$G$34))/$B$128)</f>
        <v>-805200</v>
      </c>
      <c r="I223" s="152">
        <f t="shared" si="63"/>
        <v>-805200</v>
      </c>
      <c r="J223" s="152">
        <f t="shared" si="63"/>
        <v>-805200</v>
      </c>
      <c r="K223" s="152">
        <f t="shared" si="63"/>
        <v>-805200</v>
      </c>
      <c r="L223" s="152">
        <f t="shared" si="63"/>
        <v>-805200</v>
      </c>
      <c r="M223" s="152">
        <f t="shared" si="63"/>
        <v>-805200</v>
      </c>
      <c r="N223" s="152">
        <f t="shared" si="63"/>
        <v>-805200</v>
      </c>
      <c r="O223" s="152">
        <f t="shared" si="63"/>
        <v>-805200</v>
      </c>
      <c r="P223" s="152">
        <f t="shared" si="63"/>
        <v>-805200</v>
      </c>
      <c r="Q223" s="152">
        <f t="shared" si="63"/>
        <v>-805200</v>
      </c>
      <c r="R223" s="132">
        <f t="shared" si="63"/>
        <v>0</v>
      </c>
      <c r="S223" s="132">
        <f t="shared" si="63"/>
        <v>0</v>
      </c>
      <c r="T223" s="132">
        <f t="shared" si="63"/>
        <v>0</v>
      </c>
      <c r="U223" s="132">
        <f t="shared" si="63"/>
        <v>0</v>
      </c>
      <c r="V223" s="132">
        <f t="shared" si="63"/>
        <v>0</v>
      </c>
      <c r="W223" s="132">
        <f t="shared" si="63"/>
        <v>0</v>
      </c>
      <c r="X223" s="132">
        <f t="shared" si="63"/>
        <v>0</v>
      </c>
      <c r="Y223" s="132">
        <f t="shared" si="63"/>
        <v>0</v>
      </c>
      <c r="Z223" s="132">
        <f t="shared" si="63"/>
        <v>0</v>
      </c>
      <c r="AA223" s="132">
        <f t="shared" si="63"/>
        <v>0</v>
      </c>
      <c r="AB223" s="132">
        <f t="shared" si="63"/>
        <v>0</v>
      </c>
      <c r="AC223" s="132">
        <f t="shared" si="63"/>
        <v>0</v>
      </c>
      <c r="AD223" s="132">
        <f t="shared" si="63"/>
        <v>0</v>
      </c>
      <c r="AE223" s="132">
        <f t="shared" si="63"/>
        <v>0</v>
      </c>
      <c r="AF223" s="132">
        <f t="shared" si="63"/>
        <v>0</v>
      </c>
      <c r="AG223" s="132">
        <f t="shared" si="63"/>
        <v>0</v>
      </c>
      <c r="AH223" s="132">
        <f t="shared" si="63"/>
        <v>0</v>
      </c>
      <c r="AI223" s="132">
        <f t="shared" si="63"/>
        <v>0</v>
      </c>
      <c r="AJ223" s="132">
        <f t="shared" si="63"/>
        <v>0</v>
      </c>
      <c r="AK223" s="132">
        <f t="shared" si="63"/>
        <v>0</v>
      </c>
    </row>
    <row r="224" spans="1:37" s="11" customFormat="1" ht="14.25" customHeight="1" x14ac:dyDescent="0.3">
      <c r="A224" s="109" t="s">
        <v>262</v>
      </c>
      <c r="B224" s="110"/>
      <c r="C224" s="109" t="s">
        <v>64</v>
      </c>
      <c r="D224" s="106"/>
      <c r="E224" s="106"/>
      <c r="F224" s="106"/>
      <c r="G224" s="106"/>
      <c r="H224" s="152">
        <f t="shared" ref="H224:AK224" ca="1" si="64">IF(H17&gt;ev_periode_jaar,0,H220+H214+H223)</f>
        <v>226114.97377567133</v>
      </c>
      <c r="I224" s="152">
        <f t="shared" ca="1" si="64"/>
        <v>246348.61893410562</v>
      </c>
      <c r="J224" s="152">
        <f t="shared" ca="1" si="64"/>
        <v>256428.3803500447</v>
      </c>
      <c r="K224" s="152">
        <f t="shared" ca="1" si="64"/>
        <v>650843.53434867971</v>
      </c>
      <c r="L224" s="152">
        <f t="shared" ca="1" si="64"/>
        <v>949600.78878150554</v>
      </c>
      <c r="M224" s="152">
        <f t="shared" ca="1" si="64"/>
        <v>1248706.9856574298</v>
      </c>
      <c r="N224" s="152">
        <f t="shared" ca="1" si="64"/>
        <v>1450078.1281980742</v>
      </c>
      <c r="O224" s="152">
        <f t="shared" ca="1" si="64"/>
        <v>1651812.3104564301</v>
      </c>
      <c r="P224" s="152">
        <f t="shared" ca="1" si="64"/>
        <v>1853916.7932268297</v>
      </c>
      <c r="Q224" s="152">
        <f t="shared" ca="1" si="64"/>
        <v>2056398.9825195991</v>
      </c>
      <c r="R224" s="152">
        <f t="shared" ca="1" si="64"/>
        <v>3064466.432465056</v>
      </c>
      <c r="S224" s="152">
        <f t="shared" ca="1" si="64"/>
        <v>3284450.8873229809</v>
      </c>
      <c r="T224" s="152">
        <f t="shared" ca="1" si="64"/>
        <v>3504836.167363965</v>
      </c>
      <c r="U224" s="152">
        <f t="shared" ca="1" si="64"/>
        <v>3725630.2890917957</v>
      </c>
      <c r="V224" s="152">
        <f t="shared" ca="1" si="64"/>
        <v>3946841.4293400403</v>
      </c>
      <c r="W224" s="152">
        <f t="shared" si="64"/>
        <v>0</v>
      </c>
      <c r="X224" s="152">
        <f t="shared" si="64"/>
        <v>0</v>
      </c>
      <c r="Y224" s="152">
        <f t="shared" si="64"/>
        <v>0</v>
      </c>
      <c r="Z224" s="152">
        <f t="shared" si="64"/>
        <v>0</v>
      </c>
      <c r="AA224" s="152">
        <f t="shared" si="64"/>
        <v>0</v>
      </c>
      <c r="AB224" s="152">
        <f t="shared" si="64"/>
        <v>0</v>
      </c>
      <c r="AC224" s="152">
        <f t="shared" si="64"/>
        <v>0</v>
      </c>
      <c r="AD224" s="152">
        <f t="shared" si="64"/>
        <v>0</v>
      </c>
      <c r="AE224" s="152">
        <f t="shared" si="64"/>
        <v>0</v>
      </c>
      <c r="AF224" s="152">
        <f t="shared" si="64"/>
        <v>0</v>
      </c>
      <c r="AG224" s="152">
        <f t="shared" si="64"/>
        <v>0</v>
      </c>
      <c r="AH224" s="152">
        <f t="shared" si="64"/>
        <v>0</v>
      </c>
      <c r="AI224" s="152">
        <f t="shared" si="64"/>
        <v>0</v>
      </c>
      <c r="AJ224" s="152">
        <f t="shared" si="64"/>
        <v>0</v>
      </c>
      <c r="AK224" s="132">
        <f t="shared" si="64"/>
        <v>0</v>
      </c>
    </row>
    <row r="225" spans="1:37" s="11" customFormat="1" ht="14.25" customHeight="1" x14ac:dyDescent="0.3">
      <c r="A225" s="350" t="s">
        <v>263</v>
      </c>
      <c r="B225" s="354"/>
      <c r="C225" s="354" t="s">
        <v>64</v>
      </c>
      <c r="D225" s="356"/>
      <c r="E225" s="356"/>
      <c r="F225" s="356"/>
      <c r="G225" s="356"/>
      <c r="H225" s="352">
        <f t="shared" ref="H225:AK225" ca="1" si="65">IF(H17&gt;ev_periode_jaar,0,H224*$B$134-H110)</f>
        <v>56528.743443917832</v>
      </c>
      <c r="I225" s="352">
        <f t="shared" ca="1" si="65"/>
        <v>61587.154733526404</v>
      </c>
      <c r="J225" s="352">
        <f t="shared" ca="1" si="65"/>
        <v>64107.095087511174</v>
      </c>
      <c r="K225" s="352">
        <f t="shared" ca="1" si="65"/>
        <v>162710.88358716993</v>
      </c>
      <c r="L225" s="352">
        <f t="shared" ca="1" si="65"/>
        <v>237400.19719537639</v>
      </c>
      <c r="M225" s="352">
        <f t="shared" ca="1" si="65"/>
        <v>312176.74641435745</v>
      </c>
      <c r="N225" s="352">
        <f t="shared" ca="1" si="65"/>
        <v>362519.53204951854</v>
      </c>
      <c r="O225" s="352">
        <f t="shared" ca="1" si="65"/>
        <v>412953.07761410752</v>
      </c>
      <c r="P225" s="352">
        <f t="shared" ca="1" si="65"/>
        <v>463479.19830670743</v>
      </c>
      <c r="Q225" s="352">
        <f t="shared" ca="1" si="65"/>
        <v>514099.74562989979</v>
      </c>
      <c r="R225" s="352">
        <f t="shared" ca="1" si="65"/>
        <v>766116.60811626399</v>
      </c>
      <c r="S225" s="352">
        <f t="shared" ca="1" si="65"/>
        <v>821112.72183074523</v>
      </c>
      <c r="T225" s="352">
        <f t="shared" ca="1" si="65"/>
        <v>876209.04184099124</v>
      </c>
      <c r="U225" s="352">
        <f t="shared" ca="1" si="65"/>
        <v>931407.57227294892</v>
      </c>
      <c r="V225" s="352">
        <f t="shared" ca="1" si="65"/>
        <v>986710.35733501008</v>
      </c>
      <c r="W225" s="352">
        <f t="shared" si="65"/>
        <v>0</v>
      </c>
      <c r="X225" s="352">
        <f t="shared" si="65"/>
        <v>0</v>
      </c>
      <c r="Y225" s="352">
        <f t="shared" si="65"/>
        <v>0</v>
      </c>
      <c r="Z225" s="352">
        <f t="shared" si="65"/>
        <v>0</v>
      </c>
      <c r="AA225" s="352">
        <f t="shared" si="65"/>
        <v>0</v>
      </c>
      <c r="AB225" s="352">
        <f t="shared" si="65"/>
        <v>0</v>
      </c>
      <c r="AC225" s="352">
        <f t="shared" si="65"/>
        <v>0</v>
      </c>
      <c r="AD225" s="352">
        <f t="shared" si="65"/>
        <v>0</v>
      </c>
      <c r="AE225" s="352">
        <f t="shared" si="65"/>
        <v>0</v>
      </c>
      <c r="AF225" s="352">
        <f t="shared" si="65"/>
        <v>0</v>
      </c>
      <c r="AG225" s="352">
        <f t="shared" si="65"/>
        <v>0</v>
      </c>
      <c r="AH225" s="352">
        <f t="shared" si="65"/>
        <v>0</v>
      </c>
      <c r="AI225" s="352">
        <f t="shared" si="65"/>
        <v>0</v>
      </c>
      <c r="AJ225" s="352">
        <f t="shared" si="65"/>
        <v>0</v>
      </c>
      <c r="AK225" s="352">
        <f t="shared" si="65"/>
        <v>0</v>
      </c>
    </row>
    <row r="226" spans="1:37" s="11" customFormat="1" ht="14.25" customHeight="1" x14ac:dyDescent="0.3">
      <c r="A226" s="109"/>
      <c r="B226" s="110"/>
      <c r="G226" s="109"/>
      <c r="H226" s="152"/>
      <c r="I226" s="152"/>
      <c r="J226" s="152"/>
      <c r="K226" s="152"/>
      <c r="L226" s="152"/>
      <c r="M226" s="152"/>
      <c r="N226" s="152"/>
      <c r="O226" s="152"/>
      <c r="P226" s="152"/>
      <c r="Q226" s="152"/>
      <c r="R226" s="110"/>
      <c r="S226" s="110"/>
      <c r="T226" s="110"/>
      <c r="U226" s="110"/>
      <c r="V226" s="110"/>
      <c r="W226" s="110"/>
      <c r="X226" s="110"/>
      <c r="Y226" s="110"/>
      <c r="Z226" s="110"/>
      <c r="AA226" s="110"/>
      <c r="AB226" s="110"/>
      <c r="AC226" s="110"/>
      <c r="AD226" s="110"/>
      <c r="AE226" s="110"/>
      <c r="AF226" s="110"/>
      <c r="AG226" s="110"/>
      <c r="AH226" s="110"/>
      <c r="AI226" s="110"/>
      <c r="AJ226" s="110"/>
      <c r="AK226" s="110"/>
    </row>
    <row r="227" spans="1:37" s="11" customFormat="1" ht="14.25" customHeight="1" x14ac:dyDescent="0.3">
      <c r="A227" s="66" t="s">
        <v>264</v>
      </c>
      <c r="B227" s="31"/>
      <c r="C227" s="87" t="s">
        <v>252</v>
      </c>
      <c r="H227" s="110"/>
      <c r="I227" s="110"/>
      <c r="J227" s="110"/>
      <c r="K227" s="110"/>
      <c r="L227" s="110"/>
      <c r="M227" s="110"/>
      <c r="N227" s="110"/>
      <c r="O227" s="110"/>
      <c r="P227" s="110"/>
      <c r="Q227" s="110"/>
      <c r="R227" s="110"/>
      <c r="S227" s="110"/>
      <c r="T227" s="110"/>
      <c r="U227" s="110"/>
      <c r="V227" s="110"/>
      <c r="W227" s="110"/>
      <c r="X227" s="110"/>
      <c r="Y227" s="110"/>
      <c r="Z227" s="110"/>
      <c r="AA227" s="110"/>
      <c r="AB227" s="110"/>
      <c r="AC227" s="110"/>
      <c r="AD227" s="110"/>
      <c r="AE227" s="110"/>
      <c r="AF227" s="110"/>
      <c r="AG227" s="110"/>
      <c r="AH227" s="110"/>
      <c r="AI227" s="110"/>
      <c r="AJ227" s="110"/>
      <c r="AK227" s="110"/>
    </row>
    <row r="228" spans="1:37" s="11" customFormat="1" ht="14.25" customHeight="1" x14ac:dyDescent="0.3">
      <c r="A228" s="350" t="s">
        <v>265</v>
      </c>
      <c r="B228" s="350"/>
      <c r="C228" s="350"/>
      <c r="D228" s="350"/>
      <c r="E228" s="350"/>
      <c r="F228" s="350"/>
      <c r="G228" s="350"/>
      <c r="H228" s="357"/>
      <c r="I228" s="357"/>
      <c r="J228" s="357"/>
      <c r="K228" s="357"/>
      <c r="L228" s="357"/>
      <c r="M228" s="357"/>
      <c r="N228" s="357"/>
      <c r="O228" s="357"/>
      <c r="P228" s="357"/>
      <c r="Q228" s="357"/>
      <c r="R228" s="357"/>
      <c r="S228" s="357"/>
      <c r="T228" s="357"/>
      <c r="U228" s="357"/>
      <c r="V228" s="357"/>
      <c r="W228" s="357"/>
      <c r="X228" s="357"/>
      <c r="Y228" s="357"/>
      <c r="Z228" s="357"/>
      <c r="AA228" s="357"/>
      <c r="AB228" s="357"/>
      <c r="AC228" s="357"/>
      <c r="AD228" s="357"/>
      <c r="AE228" s="357"/>
      <c r="AF228" s="357"/>
      <c r="AG228" s="357"/>
      <c r="AH228" s="357"/>
      <c r="AI228" s="357"/>
      <c r="AJ228" s="357"/>
      <c r="AK228" s="357"/>
    </row>
    <row r="229" spans="1:37" s="11" customFormat="1" ht="14.25" customHeight="1" x14ac:dyDescent="0.3">
      <c r="A229" s="109" t="s">
        <v>266</v>
      </c>
      <c r="B229" s="110"/>
      <c r="C229" s="11" t="s">
        <v>64</v>
      </c>
      <c r="D229" s="111">
        <f>D214+D220-D225</f>
        <v>0</v>
      </c>
      <c r="E229" s="111">
        <f>E214+E220-E225</f>
        <v>0</v>
      </c>
      <c r="F229" s="111">
        <f>F214+F220-F225</f>
        <v>-8052000</v>
      </c>
      <c r="G229" s="111">
        <f>G214+G220-G225</f>
        <v>0</v>
      </c>
      <c r="H229" s="152">
        <f t="shared" ref="H229:AK229" ca="1" si="66">IF(H17&gt;ev_periode_jaar,0,H214+H220-H225)</f>
        <v>974786.2303317535</v>
      </c>
      <c r="I229" s="152">
        <f t="shared" ca="1" si="66"/>
        <v>989961.46420057921</v>
      </c>
      <c r="J229" s="152">
        <f t="shared" ca="1" si="66"/>
        <v>997521.28526253346</v>
      </c>
      <c r="K229" s="152">
        <f t="shared" ca="1" si="66"/>
        <v>1293332.6507615098</v>
      </c>
      <c r="L229" s="152">
        <f t="shared" ca="1" si="66"/>
        <v>1517400.5915861293</v>
      </c>
      <c r="M229" s="152">
        <f t="shared" ca="1" si="66"/>
        <v>1741730.2392430725</v>
      </c>
      <c r="N229" s="152">
        <f t="shared" ca="1" si="66"/>
        <v>1892758.5961485556</v>
      </c>
      <c r="O229" s="152">
        <f t="shared" ca="1" si="66"/>
        <v>2044059.2328423224</v>
      </c>
      <c r="P229" s="152">
        <f t="shared" ca="1" si="66"/>
        <v>2195637.5949201221</v>
      </c>
      <c r="Q229" s="152">
        <f t="shared" ca="1" si="66"/>
        <v>2347499.2368896995</v>
      </c>
      <c r="R229" s="152">
        <f t="shared" ca="1" si="66"/>
        <v>2298349.824348792</v>
      </c>
      <c r="S229" s="152">
        <f t="shared" ca="1" si="66"/>
        <v>2463338.1654922357</v>
      </c>
      <c r="T229" s="152">
        <f t="shared" ca="1" si="66"/>
        <v>2628627.1255229739</v>
      </c>
      <c r="U229" s="152">
        <f t="shared" ca="1" si="66"/>
        <v>2794222.7168188468</v>
      </c>
      <c r="V229" s="152">
        <f t="shared" ca="1" si="66"/>
        <v>2960131.0720050302</v>
      </c>
      <c r="W229" s="152">
        <f t="shared" si="66"/>
        <v>0</v>
      </c>
      <c r="X229" s="152">
        <f t="shared" si="66"/>
        <v>0</v>
      </c>
      <c r="Y229" s="152">
        <f t="shared" si="66"/>
        <v>0</v>
      </c>
      <c r="Z229" s="152">
        <f t="shared" si="66"/>
        <v>0</v>
      </c>
      <c r="AA229" s="152">
        <f t="shared" si="66"/>
        <v>0</v>
      </c>
      <c r="AB229" s="152">
        <f t="shared" si="66"/>
        <v>0</v>
      </c>
      <c r="AC229" s="152">
        <f t="shared" si="66"/>
        <v>0</v>
      </c>
      <c r="AD229" s="152">
        <f t="shared" si="66"/>
        <v>0</v>
      </c>
      <c r="AE229" s="152">
        <f t="shared" si="66"/>
        <v>0</v>
      </c>
      <c r="AF229" s="152">
        <f t="shared" si="66"/>
        <v>0</v>
      </c>
      <c r="AG229" s="152">
        <f t="shared" si="66"/>
        <v>0</v>
      </c>
      <c r="AH229" s="152">
        <f t="shared" si="66"/>
        <v>0</v>
      </c>
      <c r="AI229" s="152">
        <f t="shared" si="66"/>
        <v>0</v>
      </c>
      <c r="AJ229" s="152">
        <f t="shared" si="66"/>
        <v>0</v>
      </c>
      <c r="AK229" s="152">
        <f t="shared" si="66"/>
        <v>0</v>
      </c>
    </row>
    <row r="230" spans="1:37" s="11" customFormat="1" ht="14.25" customHeight="1" x14ac:dyDescent="0.3">
      <c r="A230" s="109" t="s">
        <v>267</v>
      </c>
      <c r="B230" s="109"/>
      <c r="C230" s="11" t="s">
        <v>64</v>
      </c>
      <c r="D230" s="111">
        <f>D229+SUM(D166:D167)</f>
        <v>0</v>
      </c>
      <c r="E230" s="111">
        <f>E229+SUM(E166:E167)</f>
        <v>0</v>
      </c>
      <c r="F230" s="111">
        <f>F229+SUM(F108:F109)</f>
        <v>-8052000</v>
      </c>
      <c r="G230" s="111">
        <f>G229+SUM(G108:G109)</f>
        <v>0</v>
      </c>
      <c r="H230" s="152">
        <f ca="1">H229+SUM(H108:H109)</f>
        <v>974786.2303317535</v>
      </c>
      <c r="I230" s="152">
        <f t="shared" ref="I230:AK230" ca="1" si="67">I229++SUM(I108:I109)</f>
        <v>989961.46420057921</v>
      </c>
      <c r="J230" s="152">
        <f t="shared" ca="1" si="67"/>
        <v>997521.28526253346</v>
      </c>
      <c r="K230" s="152">
        <f t="shared" ca="1" si="67"/>
        <v>1293332.6507615098</v>
      </c>
      <c r="L230" s="152">
        <f t="shared" ca="1" si="67"/>
        <v>1517400.5915861293</v>
      </c>
      <c r="M230" s="152">
        <f t="shared" ca="1" si="67"/>
        <v>1741730.2392430725</v>
      </c>
      <c r="N230" s="152">
        <f t="shared" ca="1" si="67"/>
        <v>1892758.5961485556</v>
      </c>
      <c r="O230" s="152">
        <f t="shared" ca="1" si="67"/>
        <v>2044059.2328423224</v>
      </c>
      <c r="P230" s="152">
        <f t="shared" ca="1" si="67"/>
        <v>2195637.5949201221</v>
      </c>
      <c r="Q230" s="152">
        <f t="shared" ca="1" si="67"/>
        <v>2347499.2368896995</v>
      </c>
      <c r="R230" s="152">
        <f t="shared" ca="1" si="67"/>
        <v>2298349.824348792</v>
      </c>
      <c r="S230" s="152">
        <f t="shared" ca="1" si="67"/>
        <v>2463338.1654922357</v>
      </c>
      <c r="T230" s="152">
        <f t="shared" ca="1" si="67"/>
        <v>2628627.1255229739</v>
      </c>
      <c r="U230" s="152">
        <f t="shared" ca="1" si="67"/>
        <v>2794222.7168188468</v>
      </c>
      <c r="V230" s="152">
        <f t="shared" ca="1" si="67"/>
        <v>2960131.0720050302</v>
      </c>
      <c r="W230" s="152">
        <f t="shared" si="67"/>
        <v>0</v>
      </c>
      <c r="X230" s="152">
        <f t="shared" si="67"/>
        <v>0</v>
      </c>
      <c r="Y230" s="152">
        <f t="shared" si="67"/>
        <v>0</v>
      </c>
      <c r="Z230" s="152">
        <f t="shared" si="67"/>
        <v>0</v>
      </c>
      <c r="AA230" s="152">
        <f t="shared" si="67"/>
        <v>0</v>
      </c>
      <c r="AB230" s="152">
        <f t="shared" si="67"/>
        <v>0</v>
      </c>
      <c r="AC230" s="152">
        <f t="shared" si="67"/>
        <v>0</v>
      </c>
      <c r="AD230" s="152">
        <f t="shared" si="67"/>
        <v>0</v>
      </c>
      <c r="AE230" s="152">
        <f t="shared" si="67"/>
        <v>0</v>
      </c>
      <c r="AF230" s="152">
        <f t="shared" si="67"/>
        <v>0</v>
      </c>
      <c r="AG230" s="152">
        <f t="shared" si="67"/>
        <v>0</v>
      </c>
      <c r="AH230" s="152">
        <f t="shared" si="67"/>
        <v>0</v>
      </c>
      <c r="AI230" s="152">
        <f t="shared" si="67"/>
        <v>0</v>
      </c>
      <c r="AJ230" s="152">
        <f t="shared" si="67"/>
        <v>0</v>
      </c>
      <c r="AK230" s="152">
        <f t="shared" si="67"/>
        <v>0</v>
      </c>
    </row>
    <row r="231" spans="1:37" s="11" customFormat="1" ht="14.25" customHeight="1" x14ac:dyDescent="0.3">
      <c r="A231" s="66"/>
      <c r="B231" s="31"/>
      <c r="R231" s="124"/>
      <c r="S231" s="124"/>
      <c r="T231" s="124"/>
      <c r="U231" s="124"/>
      <c r="V231" s="124"/>
      <c r="W231" s="124"/>
      <c r="X231" s="124"/>
      <c r="Y231" s="124"/>
      <c r="Z231" s="124"/>
      <c r="AA231" s="124"/>
      <c r="AB231" s="124"/>
      <c r="AC231" s="124"/>
      <c r="AD231" s="124"/>
      <c r="AE231" s="124"/>
      <c r="AF231" s="124"/>
      <c r="AG231" s="124"/>
      <c r="AH231" s="124"/>
      <c r="AI231" s="124"/>
      <c r="AJ231" s="124"/>
      <c r="AK231" s="124"/>
    </row>
    <row r="232" spans="1:37" s="11" customFormat="1" ht="14.25" customHeight="1" x14ac:dyDescent="0.3">
      <c r="A232" s="66" t="s">
        <v>268</v>
      </c>
      <c r="B232" s="31"/>
      <c r="C232" s="87" t="s">
        <v>252</v>
      </c>
      <c r="D232" s="105"/>
      <c r="E232" s="105"/>
      <c r="F232" s="105"/>
      <c r="G232" s="105"/>
      <c r="H232" s="105"/>
      <c r="I232" s="105"/>
      <c r="J232" s="105"/>
      <c r="K232" s="105"/>
      <c r="L232" s="105"/>
      <c r="M232" s="105"/>
      <c r="N232" s="105"/>
      <c r="O232" s="105"/>
      <c r="P232" s="105"/>
      <c r="Q232" s="105"/>
      <c r="R232" s="124"/>
      <c r="S232" s="124"/>
      <c r="T232" s="124"/>
      <c r="U232" s="124"/>
      <c r="V232" s="124"/>
      <c r="W232" s="124"/>
      <c r="X232" s="124"/>
      <c r="Y232" s="124"/>
      <c r="Z232" s="124"/>
      <c r="AA232" s="124"/>
      <c r="AB232" s="124"/>
      <c r="AC232" s="124"/>
      <c r="AD232" s="124"/>
      <c r="AE232" s="124"/>
      <c r="AF232" s="124"/>
      <c r="AG232" s="124"/>
      <c r="AH232" s="124"/>
      <c r="AI232" s="124"/>
      <c r="AJ232" s="124"/>
      <c r="AK232" s="124"/>
    </row>
    <row r="233" spans="1:37" s="11" customFormat="1" ht="14.25" customHeight="1" x14ac:dyDescent="0.3">
      <c r="A233" s="107" t="s">
        <v>269</v>
      </c>
      <c r="B233" s="107"/>
      <c r="C233" s="107" t="s">
        <v>64</v>
      </c>
      <c r="D233" s="107">
        <f>D230/(1+$B$135)^D207</f>
        <v>0</v>
      </c>
      <c r="E233" s="107">
        <f>E230/(1+$B$135)^E207</f>
        <v>0</v>
      </c>
      <c r="F233" s="107">
        <f>F230/(1+$B$135)^F207</f>
        <v>-8294767.7999999998</v>
      </c>
      <c r="G233" s="107">
        <f>G230/(1+$B$135)^G207</f>
        <v>0</v>
      </c>
      <c r="H233" s="149">
        <f t="shared" ref="H233:AK233" ca="1" si="68">IF(H17&gt;ev_periode_jaar,0,H230/(1+$B$135)^H207)</f>
        <v>946256.59402199055</v>
      </c>
      <c r="I233" s="149">
        <f t="shared" ca="1" si="68"/>
        <v>932861.89922172425</v>
      </c>
      <c r="J233" s="149">
        <f t="shared" ca="1" si="68"/>
        <v>912474.57223670767</v>
      </c>
      <c r="K233" s="149">
        <f t="shared" ca="1" si="68"/>
        <v>1148440.1684214857</v>
      </c>
      <c r="L233" s="149">
        <f t="shared" ca="1" si="68"/>
        <v>1307970.3966631864</v>
      </c>
      <c r="M233" s="149">
        <f t="shared" ca="1" si="68"/>
        <v>1457397.7366965709</v>
      </c>
      <c r="N233" s="149">
        <f t="shared" ca="1" si="68"/>
        <v>1537417.9918859594</v>
      </c>
      <c r="O233" s="149">
        <f t="shared" ca="1" si="68"/>
        <v>1611720.5438423853</v>
      </c>
      <c r="P233" s="149">
        <f t="shared" ca="1" si="68"/>
        <v>1680569.4192803151</v>
      </c>
      <c r="Q233" s="149">
        <f t="shared" ca="1" si="68"/>
        <v>1744218.1086444997</v>
      </c>
      <c r="R233" s="149">
        <f t="shared" ca="1" si="68"/>
        <v>1657719.3098959588</v>
      </c>
      <c r="S233" s="149">
        <f t="shared" ca="1" si="68"/>
        <v>1724719.3393990579</v>
      </c>
      <c r="T233" s="149">
        <f t="shared" ca="1" si="68"/>
        <v>1786581.8427422789</v>
      </c>
      <c r="U233" s="149">
        <f t="shared" ca="1" si="68"/>
        <v>1843548.141070056</v>
      </c>
      <c r="V233" s="149">
        <f t="shared" ca="1" si="68"/>
        <v>1895849.8503497599</v>
      </c>
      <c r="W233" s="149">
        <f t="shared" si="68"/>
        <v>0</v>
      </c>
      <c r="X233" s="149">
        <f t="shared" si="68"/>
        <v>0</v>
      </c>
      <c r="Y233" s="149">
        <f t="shared" si="68"/>
        <v>0</v>
      </c>
      <c r="Z233" s="149">
        <f t="shared" si="68"/>
        <v>0</v>
      </c>
      <c r="AA233" s="149">
        <f t="shared" si="68"/>
        <v>0</v>
      </c>
      <c r="AB233" s="149">
        <f t="shared" si="68"/>
        <v>0</v>
      </c>
      <c r="AC233" s="149">
        <f t="shared" si="68"/>
        <v>0</v>
      </c>
      <c r="AD233" s="149">
        <f t="shared" si="68"/>
        <v>0</v>
      </c>
      <c r="AE233" s="149">
        <f t="shared" si="68"/>
        <v>0</v>
      </c>
      <c r="AF233" s="149">
        <f t="shared" si="68"/>
        <v>0</v>
      </c>
      <c r="AG233" s="149">
        <f t="shared" si="68"/>
        <v>0</v>
      </c>
      <c r="AH233" s="149">
        <f t="shared" si="68"/>
        <v>0</v>
      </c>
      <c r="AI233" s="149">
        <f t="shared" si="68"/>
        <v>0</v>
      </c>
      <c r="AJ233" s="149">
        <f t="shared" si="68"/>
        <v>0</v>
      </c>
      <c r="AK233" s="149">
        <f t="shared" si="68"/>
        <v>0</v>
      </c>
    </row>
    <row r="234" spans="1:37" s="11" customFormat="1" ht="14.25" customHeight="1" x14ac:dyDescent="0.3">
      <c r="A234" s="109" t="s">
        <v>270</v>
      </c>
      <c r="B234" s="109"/>
      <c r="C234" s="11" t="s">
        <v>64</v>
      </c>
      <c r="D234" s="111">
        <f>D233</f>
        <v>0</v>
      </c>
      <c r="E234" s="111">
        <f>D234+E233</f>
        <v>0</v>
      </c>
      <c r="F234" s="111">
        <f>E234+F233</f>
        <v>-8294767.7999999998</v>
      </c>
      <c r="G234" s="111">
        <f>F234+G233</f>
        <v>-8294767.7999999998</v>
      </c>
      <c r="H234" s="111">
        <f t="shared" ref="H234:AK234" ca="1" si="69">IF(H17&gt;ev_periode_jaar,0,G234+H233)</f>
        <v>-7348511.2059780089</v>
      </c>
      <c r="I234" s="111">
        <f t="shared" ca="1" si="69"/>
        <v>-6415649.306756285</v>
      </c>
      <c r="J234" s="111">
        <f t="shared" ca="1" si="69"/>
        <v>-5503174.7345195776</v>
      </c>
      <c r="K234" s="111">
        <f t="shared" ca="1" si="69"/>
        <v>-4354734.5660980921</v>
      </c>
      <c r="L234" s="111">
        <f t="shared" ca="1" si="69"/>
        <v>-3046764.169434906</v>
      </c>
      <c r="M234" s="111">
        <f t="shared" ca="1" si="69"/>
        <v>-1589366.4327383351</v>
      </c>
      <c r="N234" s="111">
        <f t="shared" ca="1" si="69"/>
        <v>-51948.440852375701</v>
      </c>
      <c r="O234" s="111">
        <f t="shared" ca="1" si="69"/>
        <v>1559772.1029900096</v>
      </c>
      <c r="P234" s="111">
        <f t="shared" ca="1" si="69"/>
        <v>3240341.5222703246</v>
      </c>
      <c r="Q234" s="111">
        <f t="shared" ca="1" si="69"/>
        <v>4984559.6309148241</v>
      </c>
      <c r="R234" s="111">
        <f t="shared" ca="1" si="69"/>
        <v>6642278.9408107828</v>
      </c>
      <c r="S234" s="111">
        <f t="shared" ca="1" si="69"/>
        <v>8366998.2802098412</v>
      </c>
      <c r="T234" s="111">
        <f t="shared" ca="1" si="69"/>
        <v>10153580.12295212</v>
      </c>
      <c r="U234" s="111">
        <f t="shared" ca="1" si="69"/>
        <v>11997128.264022177</v>
      </c>
      <c r="V234" s="111">
        <f t="shared" ca="1" si="69"/>
        <v>13892978.114371937</v>
      </c>
      <c r="W234" s="111">
        <f t="shared" si="69"/>
        <v>0</v>
      </c>
      <c r="X234" s="111">
        <f t="shared" si="69"/>
        <v>0</v>
      </c>
      <c r="Y234" s="111">
        <f t="shared" si="69"/>
        <v>0</v>
      </c>
      <c r="Z234" s="111">
        <f t="shared" si="69"/>
        <v>0</v>
      </c>
      <c r="AA234" s="111">
        <f t="shared" si="69"/>
        <v>0</v>
      </c>
      <c r="AB234" s="111">
        <f t="shared" si="69"/>
        <v>0</v>
      </c>
      <c r="AC234" s="111">
        <f t="shared" si="69"/>
        <v>0</v>
      </c>
      <c r="AD234" s="111">
        <f t="shared" si="69"/>
        <v>0</v>
      </c>
      <c r="AE234" s="111">
        <f t="shared" si="69"/>
        <v>0</v>
      </c>
      <c r="AF234" s="111">
        <f t="shared" si="69"/>
        <v>0</v>
      </c>
      <c r="AG234" s="111">
        <f t="shared" si="69"/>
        <v>0</v>
      </c>
      <c r="AH234" s="111">
        <f t="shared" si="69"/>
        <v>0</v>
      </c>
      <c r="AI234" s="111">
        <f t="shared" si="69"/>
        <v>0</v>
      </c>
      <c r="AJ234" s="111">
        <f t="shared" si="69"/>
        <v>0</v>
      </c>
      <c r="AK234" s="111">
        <f t="shared" si="69"/>
        <v>0</v>
      </c>
    </row>
    <row r="235" spans="1:37" s="11" customFormat="1" ht="14.25" customHeight="1" x14ac:dyDescent="0.3">
      <c r="A235" s="109" t="s">
        <v>271</v>
      </c>
      <c r="B235" s="109"/>
      <c r="D235" s="111"/>
      <c r="E235" s="111">
        <f>IFERROR(IF(E234&lt;0,1,-D230/E233),0)</f>
        <v>0</v>
      </c>
      <c r="F235" s="111">
        <f t="shared" ref="F235" si="70">IF(F234&lt;0,1,-E230/F233)</f>
        <v>1</v>
      </c>
      <c r="G235" s="111">
        <f>IF(G234&lt;0,1,-F230/G233)</f>
        <v>1</v>
      </c>
      <c r="H235" s="111">
        <f t="shared" ref="H235:AK235" ca="1" si="71">IF(H17&gt;ev_periode_jaar,0,IF(H234&lt;0,1,-G230/H233))</f>
        <v>1</v>
      </c>
      <c r="I235" s="111">
        <f t="shared" ca="1" si="71"/>
        <v>1</v>
      </c>
      <c r="J235" s="111">
        <f t="shared" ca="1" si="71"/>
        <v>1</v>
      </c>
      <c r="K235" s="111">
        <f t="shared" ca="1" si="71"/>
        <v>1</v>
      </c>
      <c r="L235" s="111">
        <f t="shared" ca="1" si="71"/>
        <v>1</v>
      </c>
      <c r="M235" s="111">
        <f t="shared" ca="1" si="71"/>
        <v>1</v>
      </c>
      <c r="N235" s="111">
        <f t="shared" ca="1" si="71"/>
        <v>1</v>
      </c>
      <c r="O235" s="111">
        <f t="shared" ca="1" si="71"/>
        <v>-1.1743714525324396</v>
      </c>
      <c r="P235" s="111">
        <f t="shared" ca="1" si="71"/>
        <v>-1.2162896750303047</v>
      </c>
      <c r="Q235" s="111">
        <f t="shared" ca="1" si="71"/>
        <v>-1.2588090812945625</v>
      </c>
      <c r="R235" s="111">
        <f t="shared" ca="1" si="71"/>
        <v>-1.4161017627507955</v>
      </c>
      <c r="S235" s="111">
        <f t="shared" ca="1" si="71"/>
        <v>-1.3325935251294878</v>
      </c>
      <c r="T235" s="111">
        <f t="shared" ca="1" si="71"/>
        <v>-1.3787995078418478</v>
      </c>
      <c r="U235" s="111">
        <f t="shared" ca="1" si="71"/>
        <v>-1.4258521743821848</v>
      </c>
      <c r="V235" s="111">
        <f t="shared" ca="1" si="71"/>
        <v>-1.4738628780667142</v>
      </c>
      <c r="W235" s="111">
        <f t="shared" si="71"/>
        <v>0</v>
      </c>
      <c r="X235" s="111">
        <f t="shared" si="71"/>
        <v>0</v>
      </c>
      <c r="Y235" s="111">
        <f t="shared" si="71"/>
        <v>0</v>
      </c>
      <c r="Z235" s="111">
        <f t="shared" si="71"/>
        <v>0</v>
      </c>
      <c r="AA235" s="111">
        <f t="shared" si="71"/>
        <v>0</v>
      </c>
      <c r="AB235" s="111">
        <f t="shared" si="71"/>
        <v>0</v>
      </c>
      <c r="AC235" s="111">
        <f t="shared" si="71"/>
        <v>0</v>
      </c>
      <c r="AD235" s="111">
        <f t="shared" si="71"/>
        <v>0</v>
      </c>
      <c r="AE235" s="111">
        <f t="shared" si="71"/>
        <v>0</v>
      </c>
      <c r="AF235" s="111">
        <f t="shared" si="71"/>
        <v>0</v>
      </c>
      <c r="AG235" s="111">
        <f t="shared" si="71"/>
        <v>0</v>
      </c>
      <c r="AH235" s="111">
        <f t="shared" si="71"/>
        <v>0</v>
      </c>
      <c r="AI235" s="111">
        <f t="shared" si="71"/>
        <v>0</v>
      </c>
      <c r="AJ235" s="111">
        <f t="shared" si="71"/>
        <v>0</v>
      </c>
      <c r="AK235" s="111">
        <f t="shared" si="71"/>
        <v>0</v>
      </c>
    </row>
    <row r="236" spans="1:37" s="11" customFormat="1" ht="14.25" customHeight="1" x14ac:dyDescent="0.3"/>
    <row r="237" spans="1:37" s="11" customFormat="1" ht="14.25" customHeight="1" x14ac:dyDescent="0.3"/>
    <row r="238" spans="1:37" s="11" customFormat="1" ht="14.25" customHeight="1" x14ac:dyDescent="0.3">
      <c r="A238" s="54" t="s">
        <v>77</v>
      </c>
      <c r="B238" s="202"/>
      <c r="O238" s="1"/>
    </row>
    <row r="239" spans="1:37" s="11" customFormat="1" ht="14.25" customHeight="1" x14ac:dyDescent="0.3">
      <c r="A239" s="139" t="s">
        <v>185</v>
      </c>
      <c r="B239" s="139"/>
      <c r="C239" s="140"/>
      <c r="D239" s="108">
        <f t="shared" ref="D239:AK239" si="72">D17</f>
        <v>-3</v>
      </c>
      <c r="E239" s="108">
        <f t="shared" si="72"/>
        <v>-2</v>
      </c>
      <c r="F239" s="108">
        <f t="shared" si="72"/>
        <v>-1</v>
      </c>
      <c r="G239" s="108">
        <f t="shared" si="72"/>
        <v>0</v>
      </c>
      <c r="H239" s="108">
        <f t="shared" si="72"/>
        <v>1</v>
      </c>
      <c r="I239" s="108">
        <f t="shared" si="72"/>
        <v>2</v>
      </c>
      <c r="J239" s="108">
        <f t="shared" si="72"/>
        <v>3</v>
      </c>
      <c r="K239" s="108">
        <f t="shared" si="72"/>
        <v>4</v>
      </c>
      <c r="L239" s="108">
        <f t="shared" si="72"/>
        <v>5</v>
      </c>
      <c r="M239" s="108">
        <f t="shared" si="72"/>
        <v>6</v>
      </c>
      <c r="N239" s="108">
        <f t="shared" si="72"/>
        <v>7</v>
      </c>
      <c r="O239" s="108">
        <f t="shared" si="72"/>
        <v>8</v>
      </c>
      <c r="P239" s="108">
        <f t="shared" si="72"/>
        <v>9</v>
      </c>
      <c r="Q239" s="108">
        <f t="shared" si="72"/>
        <v>10</v>
      </c>
      <c r="R239" s="108">
        <f t="shared" si="72"/>
        <v>11</v>
      </c>
      <c r="S239" s="108">
        <f t="shared" si="72"/>
        <v>12</v>
      </c>
      <c r="T239" s="108">
        <f t="shared" si="72"/>
        <v>13</v>
      </c>
      <c r="U239" s="108">
        <f t="shared" si="72"/>
        <v>14</v>
      </c>
      <c r="V239" s="108">
        <f t="shared" si="72"/>
        <v>15</v>
      </c>
      <c r="W239" s="108">
        <f t="shared" si="72"/>
        <v>16</v>
      </c>
      <c r="X239" s="108">
        <f t="shared" si="72"/>
        <v>17</v>
      </c>
      <c r="Y239" s="108">
        <f t="shared" si="72"/>
        <v>18</v>
      </c>
      <c r="Z239" s="108">
        <f t="shared" si="72"/>
        <v>19</v>
      </c>
      <c r="AA239" s="108">
        <f t="shared" si="72"/>
        <v>20</v>
      </c>
      <c r="AB239" s="108">
        <f t="shared" si="72"/>
        <v>21</v>
      </c>
      <c r="AC239" s="108">
        <f t="shared" si="72"/>
        <v>22</v>
      </c>
      <c r="AD239" s="108">
        <f t="shared" si="72"/>
        <v>23</v>
      </c>
      <c r="AE239" s="108">
        <f t="shared" si="72"/>
        <v>24</v>
      </c>
      <c r="AF239" s="108">
        <f t="shared" si="72"/>
        <v>25</v>
      </c>
      <c r="AG239" s="108">
        <f t="shared" si="72"/>
        <v>26</v>
      </c>
      <c r="AH239" s="108">
        <f t="shared" si="72"/>
        <v>27</v>
      </c>
      <c r="AI239" s="108">
        <f t="shared" si="72"/>
        <v>28</v>
      </c>
      <c r="AJ239" s="108">
        <f t="shared" si="72"/>
        <v>29</v>
      </c>
      <c r="AK239" s="108">
        <f t="shared" si="72"/>
        <v>30</v>
      </c>
    </row>
    <row r="240" spans="1:37" s="11" customFormat="1" ht="14.25" customHeight="1" x14ac:dyDescent="0.3">
      <c r="A240" s="141" t="s">
        <v>250</v>
      </c>
      <c r="B240" s="142"/>
      <c r="C240" s="143"/>
      <c r="D240" s="143"/>
      <c r="E240" s="143"/>
      <c r="F240" s="143"/>
      <c r="G240" s="143"/>
      <c r="H240" s="143">
        <f t="shared" ref="H240:AK240" si="73">IF(H17&gt;ev_periode_jaar,0,POWER(1+$B$129,H239-$H$143))</f>
        <v>1</v>
      </c>
      <c r="I240" s="143">
        <f t="shared" si="73"/>
        <v>1.02</v>
      </c>
      <c r="J240" s="143">
        <f t="shared" si="73"/>
        <v>1.0404</v>
      </c>
      <c r="K240" s="143">
        <f t="shared" si="73"/>
        <v>1.0612079999999999</v>
      </c>
      <c r="L240" s="143">
        <f t="shared" si="73"/>
        <v>1.08243216</v>
      </c>
      <c r="M240" s="143">
        <f t="shared" si="73"/>
        <v>1.1040808032</v>
      </c>
      <c r="N240" s="143">
        <f t="shared" si="73"/>
        <v>1.1261624192640001</v>
      </c>
      <c r="O240" s="143">
        <f t="shared" si="73"/>
        <v>1.1486856676492798</v>
      </c>
      <c r="P240" s="143">
        <f t="shared" si="73"/>
        <v>1.1716593810022655</v>
      </c>
      <c r="Q240" s="143">
        <f t="shared" si="73"/>
        <v>1.1950925686223108</v>
      </c>
      <c r="R240" s="143">
        <f t="shared" si="73"/>
        <v>1.2189944199947571</v>
      </c>
      <c r="S240" s="143">
        <f t="shared" si="73"/>
        <v>1.243374308394652</v>
      </c>
      <c r="T240" s="143">
        <f t="shared" si="73"/>
        <v>1.2682417945625453</v>
      </c>
      <c r="U240" s="143">
        <f t="shared" si="73"/>
        <v>1.2936066304537961</v>
      </c>
      <c r="V240" s="143">
        <f t="shared" si="73"/>
        <v>1.3194787630628722</v>
      </c>
      <c r="W240" s="143">
        <f t="shared" si="73"/>
        <v>0</v>
      </c>
      <c r="X240" s="143">
        <f t="shared" si="73"/>
        <v>0</v>
      </c>
      <c r="Y240" s="143">
        <f t="shared" si="73"/>
        <v>0</v>
      </c>
      <c r="Z240" s="143">
        <f t="shared" si="73"/>
        <v>0</v>
      </c>
      <c r="AA240" s="143">
        <f t="shared" si="73"/>
        <v>0</v>
      </c>
      <c r="AB240" s="143">
        <f t="shared" si="73"/>
        <v>0</v>
      </c>
      <c r="AC240" s="143">
        <f t="shared" si="73"/>
        <v>0</v>
      </c>
      <c r="AD240" s="143">
        <f t="shared" si="73"/>
        <v>0</v>
      </c>
      <c r="AE240" s="143">
        <f t="shared" si="73"/>
        <v>0</v>
      </c>
      <c r="AF240" s="143">
        <f t="shared" si="73"/>
        <v>0</v>
      </c>
      <c r="AG240" s="143">
        <f t="shared" si="73"/>
        <v>0</v>
      </c>
      <c r="AH240" s="143">
        <f t="shared" si="73"/>
        <v>0</v>
      </c>
      <c r="AI240" s="143">
        <f t="shared" si="73"/>
        <v>0</v>
      </c>
      <c r="AJ240" s="143">
        <f t="shared" si="73"/>
        <v>0</v>
      </c>
      <c r="AK240" s="143">
        <f t="shared" si="73"/>
        <v>0</v>
      </c>
    </row>
    <row r="241" spans="1:37" s="11" customFormat="1" ht="14.25" customHeight="1" x14ac:dyDescent="0.3">
      <c r="A241" s="120"/>
      <c r="B241" s="121"/>
      <c r="C241" s="121"/>
      <c r="D241" s="121"/>
      <c r="E241" s="121"/>
      <c r="F241" s="121"/>
      <c r="G241" s="121"/>
      <c r="H241" s="121"/>
      <c r="I241" s="121"/>
      <c r="J241" s="121"/>
      <c r="K241" s="121"/>
      <c r="L241" s="121"/>
      <c r="M241" s="121"/>
      <c r="N241" s="121"/>
      <c r="O241" s="121"/>
      <c r="P241" s="121"/>
      <c r="Q241" s="121"/>
      <c r="R241" s="119"/>
      <c r="S241" s="119"/>
      <c r="T241" s="119"/>
      <c r="U241" s="119"/>
      <c r="V241" s="119"/>
      <c r="W241" s="119"/>
      <c r="X241" s="119"/>
      <c r="Y241" s="119"/>
      <c r="Z241" s="119"/>
      <c r="AA241" s="119"/>
      <c r="AB241" s="119"/>
      <c r="AC241" s="119"/>
      <c r="AD241" s="119"/>
      <c r="AE241" s="119"/>
      <c r="AF241" s="119"/>
      <c r="AG241" s="119"/>
      <c r="AH241" s="119"/>
      <c r="AI241" s="119"/>
      <c r="AJ241" s="119"/>
      <c r="AK241" s="119"/>
    </row>
    <row r="242" spans="1:37" s="11" customFormat="1" ht="14.25" customHeight="1" x14ac:dyDescent="0.3">
      <c r="A242" s="66" t="s">
        <v>251</v>
      </c>
      <c r="B242" s="121"/>
      <c r="C242" s="87" t="s">
        <v>252</v>
      </c>
      <c r="D242" s="121"/>
      <c r="E242" s="121"/>
      <c r="F242" s="121"/>
      <c r="G242" s="121"/>
      <c r="H242" s="121"/>
      <c r="I242" s="121"/>
      <c r="J242" s="121"/>
      <c r="K242" s="121"/>
      <c r="L242" s="121"/>
      <c r="M242" s="121"/>
      <c r="N242" s="121"/>
      <c r="O242" s="121"/>
      <c r="P242" s="121"/>
      <c r="Q242" s="121"/>
      <c r="R242" s="204"/>
      <c r="S242" s="204"/>
      <c r="T242" s="204"/>
      <c r="U242" s="204"/>
      <c r="V242" s="204"/>
      <c r="W242" s="204"/>
      <c r="X242" s="204"/>
      <c r="Y242" s="204"/>
      <c r="Z242" s="204"/>
      <c r="AA242" s="204"/>
      <c r="AB242" s="204"/>
      <c r="AC242" s="204"/>
      <c r="AD242" s="204"/>
      <c r="AE242" s="204"/>
      <c r="AF242" s="204"/>
      <c r="AG242" s="204"/>
      <c r="AH242" s="204"/>
      <c r="AI242" s="204"/>
      <c r="AJ242" s="204"/>
      <c r="AK242" s="204"/>
    </row>
    <row r="243" spans="1:37" s="11" customFormat="1" ht="14.25" customHeight="1" x14ac:dyDescent="0.3">
      <c r="A243" s="11" t="s">
        <v>253</v>
      </c>
      <c r="B243" s="121"/>
      <c r="C243" s="87"/>
      <c r="D243" s="106">
        <f>-ABS(D34)-ABS(D122)</f>
        <v>0</v>
      </c>
      <c r="E243" s="106">
        <f>-ABS(E34)-ABS(E122)</f>
        <v>0</v>
      </c>
      <c r="F243" s="106">
        <f>-ABS(F34)-ABS(F122)</f>
        <v>-8052000</v>
      </c>
      <c r="G243" s="106">
        <f>-ABS(G34)-ABS(G122)</f>
        <v>0</v>
      </c>
      <c r="H243" s="121"/>
      <c r="I243" s="121"/>
      <c r="J243" s="121"/>
      <c r="K243" s="121"/>
      <c r="L243" s="121"/>
      <c r="M243" s="121"/>
      <c r="N243" s="121"/>
      <c r="O243" s="121"/>
      <c r="P243" s="121"/>
      <c r="Q243" s="121"/>
      <c r="R243" s="204"/>
      <c r="S243" s="204"/>
      <c r="T243" s="204"/>
      <c r="U243" s="204"/>
      <c r="V243" s="204"/>
      <c r="W243" s="204"/>
      <c r="X243" s="204"/>
      <c r="Y243" s="204"/>
      <c r="Z243" s="204"/>
      <c r="AA243" s="204"/>
      <c r="AB243" s="204"/>
      <c r="AC243" s="204"/>
      <c r="AD243" s="204"/>
      <c r="AE243" s="204"/>
      <c r="AF243" s="204"/>
      <c r="AG243" s="204"/>
      <c r="AH243" s="204"/>
      <c r="AI243" s="204"/>
      <c r="AJ243" s="204"/>
      <c r="AK243" s="204"/>
    </row>
    <row r="244" spans="1:37" s="11" customFormat="1" ht="14.25" customHeight="1" x14ac:dyDescent="0.3">
      <c r="A244" s="11" t="s">
        <v>198</v>
      </c>
      <c r="B244" s="121"/>
      <c r="C244" s="87"/>
      <c r="D244" s="121"/>
      <c r="E244" s="121"/>
      <c r="F244" s="121"/>
      <c r="G244" s="121"/>
      <c r="H244" s="152">
        <f t="shared" ref="H244:AK244" ca="1" si="74">IF(H17&gt;ev_periode_jaar,0,IFERROR(-ABS(H55)-ABS(H123),0))</f>
        <v>-448015.2</v>
      </c>
      <c r="I244" s="152">
        <f t="shared" ca="1" si="74"/>
        <v>-448923.50400000002</v>
      </c>
      <c r="J244" s="152">
        <f t="shared" ca="1" si="74"/>
        <v>-449849.97408000001</v>
      </c>
      <c r="K244" s="152">
        <f t="shared" ca="1" si="74"/>
        <v>-450794.97356160003</v>
      </c>
      <c r="L244" s="152">
        <f t="shared" ca="1" si="74"/>
        <v>-451758.87303283199</v>
      </c>
      <c r="M244" s="152">
        <f t="shared" ca="1" si="74"/>
        <v>-452742.05049348867</v>
      </c>
      <c r="N244" s="152">
        <f t="shared" ca="1" si="74"/>
        <v>-453744.89150335843</v>
      </c>
      <c r="O244" s="152">
        <f t="shared" ca="1" si="74"/>
        <v>-454767.78933342558</v>
      </c>
      <c r="P244" s="152">
        <f t="shared" ca="1" si="74"/>
        <v>-455811.14512009412</v>
      </c>
      <c r="Q244" s="152">
        <f t="shared" ca="1" si="74"/>
        <v>-456875.368022496</v>
      </c>
      <c r="R244" s="152">
        <f t="shared" ca="1" si="74"/>
        <v>-457960.87538294593</v>
      </c>
      <c r="S244" s="152">
        <f t="shared" ca="1" si="74"/>
        <v>-459068.09289060481</v>
      </c>
      <c r="T244" s="152">
        <f t="shared" ca="1" si="74"/>
        <v>-460197.4547484169</v>
      </c>
      <c r="U244" s="152">
        <f t="shared" ca="1" si="74"/>
        <v>-461349.40384338528</v>
      </c>
      <c r="V244" s="152">
        <f t="shared" ca="1" si="74"/>
        <v>-462524.39192025299</v>
      </c>
      <c r="W244" s="152">
        <f t="shared" si="74"/>
        <v>0</v>
      </c>
      <c r="X244" s="152">
        <f t="shared" si="74"/>
        <v>0</v>
      </c>
      <c r="Y244" s="152">
        <f t="shared" si="74"/>
        <v>0</v>
      </c>
      <c r="Z244" s="152">
        <f t="shared" si="74"/>
        <v>0</v>
      </c>
      <c r="AA244" s="152">
        <f t="shared" si="74"/>
        <v>0</v>
      </c>
      <c r="AB244" s="152">
        <f t="shared" si="74"/>
        <v>0</v>
      </c>
      <c r="AC244" s="152">
        <f t="shared" si="74"/>
        <v>0</v>
      </c>
      <c r="AD244" s="152">
        <f t="shared" si="74"/>
        <v>0</v>
      </c>
      <c r="AE244" s="152">
        <f t="shared" si="74"/>
        <v>0</v>
      </c>
      <c r="AF244" s="152">
        <f t="shared" si="74"/>
        <v>0</v>
      </c>
      <c r="AG244" s="152">
        <f t="shared" si="74"/>
        <v>0</v>
      </c>
      <c r="AH244" s="152">
        <f t="shared" si="74"/>
        <v>0</v>
      </c>
      <c r="AI244" s="152">
        <f t="shared" si="74"/>
        <v>0</v>
      </c>
      <c r="AJ244" s="152">
        <f t="shared" si="74"/>
        <v>0</v>
      </c>
      <c r="AK244" s="152">
        <f t="shared" si="74"/>
        <v>0</v>
      </c>
    </row>
    <row r="245" spans="1:37" s="11" customFormat="1" ht="14.25" customHeight="1" x14ac:dyDescent="0.3">
      <c r="A245" s="11" t="s">
        <v>209</v>
      </c>
      <c r="B245" s="121"/>
      <c r="C245" s="87"/>
      <c r="D245" s="121"/>
      <c r="E245" s="121"/>
      <c r="F245" s="121"/>
      <c r="G245" s="121"/>
      <c r="H245" s="152">
        <f t="shared" ref="H245:AK245" si="75">IF(H17&gt;ev_periode_jaar,0,IFERROR(-ABS(H73),0))</f>
        <v>-722336.61376869294</v>
      </c>
      <c r="I245" s="152">
        <f t="shared" si="75"/>
        <v>-732639.30534835893</v>
      </c>
      <c r="J245" s="152">
        <f t="shared" si="75"/>
        <v>-742966.70092802506</v>
      </c>
      <c r="K245" s="152">
        <f t="shared" si="75"/>
        <v>-753319.29458769108</v>
      </c>
      <c r="L245" s="152">
        <f t="shared" si="75"/>
        <v>-763697.59028895723</v>
      </c>
      <c r="M245" s="152">
        <f t="shared" si="75"/>
        <v>-774102.10207265534</v>
      </c>
      <c r="N245" s="152">
        <f t="shared" si="75"/>
        <v>-763953.38381529029</v>
      </c>
      <c r="O245" s="152">
        <f t="shared" si="75"/>
        <v>-753831.94077008765</v>
      </c>
      <c r="P245" s="152">
        <f t="shared" si="75"/>
        <v>-743738.31844129041</v>
      </c>
      <c r="Q245" s="152">
        <f t="shared" si="75"/>
        <v>-733673.07324322697</v>
      </c>
      <c r="R245" s="152">
        <f t="shared" si="75"/>
        <v>-723636.77271851152</v>
      </c>
      <c r="S245" s="152">
        <f t="shared" si="75"/>
        <v>-722891.28836010734</v>
      </c>
      <c r="T245" s="152">
        <f t="shared" si="75"/>
        <v>-722175.9180398545</v>
      </c>
      <c r="U245" s="152">
        <f t="shared" si="75"/>
        <v>-721491.26403851632</v>
      </c>
      <c r="V245" s="152">
        <f t="shared" si="75"/>
        <v>-720837.94068247115</v>
      </c>
      <c r="W245" s="152">
        <f t="shared" si="75"/>
        <v>0</v>
      </c>
      <c r="X245" s="152">
        <f t="shared" si="75"/>
        <v>0</v>
      </c>
      <c r="Y245" s="152">
        <f t="shared" si="75"/>
        <v>0</v>
      </c>
      <c r="Z245" s="152">
        <f t="shared" si="75"/>
        <v>0</v>
      </c>
      <c r="AA245" s="152">
        <f t="shared" si="75"/>
        <v>0</v>
      </c>
      <c r="AB245" s="152">
        <f t="shared" si="75"/>
        <v>0</v>
      </c>
      <c r="AC245" s="152">
        <f t="shared" si="75"/>
        <v>0</v>
      </c>
      <c r="AD245" s="152">
        <f t="shared" si="75"/>
        <v>0</v>
      </c>
      <c r="AE245" s="152">
        <f t="shared" si="75"/>
        <v>0</v>
      </c>
      <c r="AF245" s="152">
        <f t="shared" si="75"/>
        <v>0</v>
      </c>
      <c r="AG245" s="152">
        <f t="shared" si="75"/>
        <v>0</v>
      </c>
      <c r="AH245" s="152">
        <f t="shared" si="75"/>
        <v>0</v>
      </c>
      <c r="AI245" s="152">
        <f t="shared" si="75"/>
        <v>0</v>
      </c>
      <c r="AJ245" s="152">
        <f t="shared" si="75"/>
        <v>0</v>
      </c>
      <c r="AK245" s="152">
        <f t="shared" si="75"/>
        <v>0</v>
      </c>
    </row>
    <row r="246" spans="1:37" s="11" customFormat="1" ht="14.25" customHeight="1" x14ac:dyDescent="0.3">
      <c r="A246" s="350" t="s">
        <v>254</v>
      </c>
      <c r="B246" s="350"/>
      <c r="C246" s="350"/>
      <c r="D246" s="351">
        <f>SUM(D243:D245)</f>
        <v>0</v>
      </c>
      <c r="E246" s="351">
        <f t="shared" ref="E246:G246" si="76">SUM(E243:E245)</f>
        <v>0</v>
      </c>
      <c r="F246" s="351">
        <f t="shared" si="76"/>
        <v>-8052000</v>
      </c>
      <c r="G246" s="351">
        <f t="shared" si="76"/>
        <v>0</v>
      </c>
      <c r="H246" s="352">
        <f ca="1">SUM(H243:H245)</f>
        <v>-1170351.813768693</v>
      </c>
      <c r="I246" s="352">
        <f t="shared" ref="I246:AK246" ca="1" si="77">SUM(I243:I245)</f>
        <v>-1181562.809348359</v>
      </c>
      <c r="J246" s="352">
        <f t="shared" ca="1" si="77"/>
        <v>-1192816.675008025</v>
      </c>
      <c r="K246" s="352">
        <f t="shared" ca="1" si="77"/>
        <v>-1204114.2681492912</v>
      </c>
      <c r="L246" s="352">
        <f t="shared" ca="1" si="77"/>
        <v>-1215456.4633217892</v>
      </c>
      <c r="M246" s="352">
        <f t="shared" ca="1" si="77"/>
        <v>-1226844.152566144</v>
      </c>
      <c r="N246" s="352">
        <f t="shared" ca="1" si="77"/>
        <v>-1217698.2753186487</v>
      </c>
      <c r="O246" s="352">
        <f t="shared" ca="1" si="77"/>
        <v>-1208599.7301035132</v>
      </c>
      <c r="P246" s="352">
        <f t="shared" ca="1" si="77"/>
        <v>-1199549.4635613845</v>
      </c>
      <c r="Q246" s="352">
        <f t="shared" ca="1" si="77"/>
        <v>-1190548.441265723</v>
      </c>
      <c r="R246" s="352">
        <f t="shared" ca="1" si="77"/>
        <v>-1181597.6481014574</v>
      </c>
      <c r="S246" s="352">
        <f t="shared" ca="1" si="77"/>
        <v>-1181959.3812507121</v>
      </c>
      <c r="T246" s="352">
        <f t="shared" ca="1" si="77"/>
        <v>-1182373.3727882714</v>
      </c>
      <c r="U246" s="352">
        <f t="shared" ca="1" si="77"/>
        <v>-1182840.6678819016</v>
      </c>
      <c r="V246" s="352">
        <f t="shared" ca="1" si="77"/>
        <v>-1183362.3326027242</v>
      </c>
      <c r="W246" s="352">
        <f t="shared" si="77"/>
        <v>0</v>
      </c>
      <c r="X246" s="352">
        <f t="shared" si="77"/>
        <v>0</v>
      </c>
      <c r="Y246" s="352">
        <f t="shared" si="77"/>
        <v>0</v>
      </c>
      <c r="Z246" s="352">
        <f t="shared" si="77"/>
        <v>0</v>
      </c>
      <c r="AA246" s="352">
        <f t="shared" si="77"/>
        <v>0</v>
      </c>
      <c r="AB246" s="352">
        <f t="shared" si="77"/>
        <v>0</v>
      </c>
      <c r="AC246" s="352">
        <f t="shared" si="77"/>
        <v>0</v>
      </c>
      <c r="AD246" s="352">
        <f t="shared" si="77"/>
        <v>0</v>
      </c>
      <c r="AE246" s="352">
        <f t="shared" si="77"/>
        <v>0</v>
      </c>
      <c r="AF246" s="352">
        <f t="shared" si="77"/>
        <v>0</v>
      </c>
      <c r="AG246" s="352">
        <f t="shared" si="77"/>
        <v>0</v>
      </c>
      <c r="AH246" s="352">
        <f t="shared" si="77"/>
        <v>0</v>
      </c>
      <c r="AI246" s="352">
        <f t="shared" si="77"/>
        <v>0</v>
      </c>
      <c r="AJ246" s="352">
        <f t="shared" si="77"/>
        <v>0</v>
      </c>
      <c r="AK246" s="352">
        <f t="shared" si="77"/>
        <v>0</v>
      </c>
    </row>
    <row r="247" spans="1:37" s="11" customFormat="1" ht="14.25" customHeight="1" x14ac:dyDescent="0.3">
      <c r="B247" s="31"/>
      <c r="H247" s="110"/>
      <c r="I247" s="110"/>
      <c r="J247" s="110"/>
      <c r="K247" s="110"/>
      <c r="L247" s="110"/>
      <c r="M247" s="110"/>
      <c r="N247" s="110"/>
      <c r="O247" s="110"/>
      <c r="P247" s="110"/>
      <c r="Q247" s="110"/>
      <c r="R247" s="110"/>
      <c r="S247" s="110"/>
      <c r="T247" s="110"/>
      <c r="U247" s="110"/>
      <c r="V247" s="110"/>
      <c r="W247" s="110"/>
      <c r="X247" s="110"/>
      <c r="Y247" s="110"/>
      <c r="Z247" s="110"/>
      <c r="AA247" s="110"/>
      <c r="AB247" s="110"/>
      <c r="AC247" s="110"/>
      <c r="AD247" s="110"/>
      <c r="AE247" s="110"/>
      <c r="AF247" s="110"/>
      <c r="AG247" s="110"/>
      <c r="AH247" s="110"/>
      <c r="AI247" s="110"/>
      <c r="AJ247" s="110"/>
      <c r="AK247" s="110"/>
    </row>
    <row r="248" spans="1:37" s="11" customFormat="1" ht="14.25" customHeight="1" x14ac:dyDescent="0.3">
      <c r="A248" s="66" t="s">
        <v>255</v>
      </c>
      <c r="B248" s="31"/>
      <c r="C248" s="87" t="s">
        <v>252</v>
      </c>
      <c r="H248" s="152"/>
      <c r="I248" s="152"/>
      <c r="J248" s="152"/>
      <c r="K248" s="152"/>
      <c r="L248" s="152"/>
      <c r="M248" s="152"/>
      <c r="N248" s="152"/>
      <c r="O248" s="152"/>
      <c r="P248" s="152"/>
      <c r="Q248" s="152"/>
      <c r="R248" s="110"/>
      <c r="S248" s="110"/>
      <c r="T248" s="110"/>
      <c r="U248" s="110"/>
      <c r="V248" s="110"/>
      <c r="W248" s="110"/>
      <c r="X248" s="110"/>
      <c r="Y248" s="110"/>
      <c r="Z248" s="110"/>
      <c r="AA248" s="110"/>
      <c r="AB248" s="110"/>
      <c r="AC248" s="110"/>
      <c r="AD248" s="110"/>
      <c r="AE248" s="110"/>
      <c r="AF248" s="110"/>
      <c r="AG248" s="110"/>
      <c r="AH248" s="110"/>
      <c r="AI248" s="110"/>
      <c r="AJ248" s="110"/>
      <c r="AK248" s="110"/>
    </row>
    <row r="249" spans="1:37" s="11" customFormat="1" ht="14.25" customHeight="1" x14ac:dyDescent="0.3">
      <c r="A249" s="11" t="s">
        <v>256</v>
      </c>
      <c r="B249" s="31"/>
      <c r="C249" s="11" t="s">
        <v>64</v>
      </c>
      <c r="D249" s="106"/>
      <c r="E249" s="106"/>
      <c r="F249" s="106"/>
      <c r="G249" s="106"/>
      <c r="H249" s="152">
        <f>IF(H17&gt;ev_periode_jaar,0,IFERROR(H22*H25*H105,0))</f>
        <v>0</v>
      </c>
      <c r="I249" s="152">
        <f t="shared" ref="I249:AK249" si="78">IF(I17&gt;ev_periode_jaar,0,IFERROR(($B$19*I20*I25)*I105,0))</f>
        <v>0</v>
      </c>
      <c r="J249" s="152">
        <f t="shared" si="78"/>
        <v>0</v>
      </c>
      <c r="K249" s="152">
        <f t="shared" si="78"/>
        <v>671999.99999979814</v>
      </c>
      <c r="L249" s="152">
        <f t="shared" si="78"/>
        <v>1407999.9999998449</v>
      </c>
      <c r="M249" s="152">
        <f t="shared" si="78"/>
        <v>2143999.999999892</v>
      </c>
      <c r="N249" s="152">
        <f t="shared" si="78"/>
        <v>2879999.9999999385</v>
      </c>
      <c r="O249" s="152">
        <f t="shared" si="78"/>
        <v>3615999.9999998151</v>
      </c>
      <c r="P249" s="152">
        <f t="shared" si="78"/>
        <v>4351999.9999998622</v>
      </c>
      <c r="Q249" s="152">
        <f t="shared" si="78"/>
        <v>5087999.9999999087</v>
      </c>
      <c r="R249" s="132">
        <f t="shared" si="78"/>
        <v>5823999.9999999553</v>
      </c>
      <c r="S249" s="132">
        <f t="shared" si="78"/>
        <v>6559999.9999998314</v>
      </c>
      <c r="T249" s="132">
        <f t="shared" si="78"/>
        <v>7295999.9999998789</v>
      </c>
      <c r="U249" s="132">
        <f t="shared" si="78"/>
        <v>8031999.9999999255</v>
      </c>
      <c r="V249" s="132">
        <f t="shared" si="78"/>
        <v>8767999.9999998026</v>
      </c>
      <c r="W249" s="132">
        <f t="shared" si="78"/>
        <v>0</v>
      </c>
      <c r="X249" s="132">
        <f t="shared" si="78"/>
        <v>0</v>
      </c>
      <c r="Y249" s="132">
        <f t="shared" si="78"/>
        <v>0</v>
      </c>
      <c r="Z249" s="132">
        <f t="shared" si="78"/>
        <v>0</v>
      </c>
      <c r="AA249" s="132">
        <f t="shared" si="78"/>
        <v>0</v>
      </c>
      <c r="AB249" s="132">
        <f t="shared" si="78"/>
        <v>0</v>
      </c>
      <c r="AC249" s="132">
        <f t="shared" si="78"/>
        <v>0</v>
      </c>
      <c r="AD249" s="132">
        <f t="shared" si="78"/>
        <v>0</v>
      </c>
      <c r="AE249" s="132">
        <f t="shared" si="78"/>
        <v>0</v>
      </c>
      <c r="AF249" s="132">
        <f t="shared" si="78"/>
        <v>0</v>
      </c>
      <c r="AG249" s="132">
        <f t="shared" si="78"/>
        <v>0</v>
      </c>
      <c r="AH249" s="132">
        <f t="shared" si="78"/>
        <v>0</v>
      </c>
      <c r="AI249" s="132">
        <f t="shared" si="78"/>
        <v>0</v>
      </c>
      <c r="AJ249" s="132">
        <f t="shared" si="78"/>
        <v>0</v>
      </c>
      <c r="AK249" s="132">
        <f t="shared" si="78"/>
        <v>0</v>
      </c>
    </row>
    <row r="250" spans="1:37" s="11" customFormat="1" ht="14.25" customHeight="1" x14ac:dyDescent="0.3">
      <c r="A250" s="109" t="s">
        <v>257</v>
      </c>
      <c r="B250" s="31"/>
      <c r="C250" s="11" t="s">
        <v>64</v>
      </c>
      <c r="D250" s="106"/>
      <c r="E250" s="106"/>
      <c r="F250" s="106"/>
      <c r="G250" s="106"/>
      <c r="H250" s="152">
        <f t="shared" ref="H250:AK250" si="79">IF(H17&gt;ev_periode_jaar,0,H96)</f>
        <v>3046214.6392838336</v>
      </c>
      <c r="I250" s="152">
        <f t="shared" si="79"/>
        <v>3069209.4112690892</v>
      </c>
      <c r="J250" s="152">
        <f t="shared" si="79"/>
        <v>3092664.0786940493</v>
      </c>
      <c r="K250" s="152">
        <f t="shared" si="79"/>
        <v>3116587.8394675096</v>
      </c>
      <c r="L250" s="152">
        <f t="shared" si="79"/>
        <v>3140990.0754564391</v>
      </c>
      <c r="M250" s="152">
        <f t="shared" si="79"/>
        <v>3165880.3561651465</v>
      </c>
      <c r="N250" s="152">
        <f t="shared" si="79"/>
        <v>3191268.4424880273</v>
      </c>
      <c r="O250" s="152">
        <f t="shared" si="79"/>
        <v>3217164.2905373666</v>
      </c>
      <c r="P250" s="152">
        <f t="shared" si="79"/>
        <v>3243578.0555476933</v>
      </c>
      <c r="Q250" s="152">
        <f t="shared" si="79"/>
        <v>3270520.0958582251</v>
      </c>
      <c r="R250" s="132">
        <f t="shared" si="79"/>
        <v>3298000.9769749688</v>
      </c>
      <c r="S250" s="132">
        <f t="shared" si="79"/>
        <v>3326031.4757140465</v>
      </c>
      <c r="T250" s="132">
        <f t="shared" si="79"/>
        <v>3354622.5844279067</v>
      </c>
      <c r="U250" s="132">
        <f t="shared" si="79"/>
        <v>3383785.5153160435</v>
      </c>
      <c r="V250" s="132">
        <f t="shared" si="79"/>
        <v>3413531.7048219428</v>
      </c>
      <c r="W250" s="132">
        <f t="shared" si="79"/>
        <v>0</v>
      </c>
      <c r="X250" s="132">
        <f t="shared" si="79"/>
        <v>0</v>
      </c>
      <c r="Y250" s="132">
        <f t="shared" si="79"/>
        <v>0</v>
      </c>
      <c r="Z250" s="132">
        <f t="shared" si="79"/>
        <v>0</v>
      </c>
      <c r="AA250" s="132">
        <f t="shared" si="79"/>
        <v>0</v>
      </c>
      <c r="AB250" s="132">
        <f t="shared" si="79"/>
        <v>0</v>
      </c>
      <c r="AC250" s="132">
        <f t="shared" si="79"/>
        <v>0</v>
      </c>
      <c r="AD250" s="132">
        <f t="shared" si="79"/>
        <v>0</v>
      </c>
      <c r="AE250" s="132">
        <f t="shared" si="79"/>
        <v>0</v>
      </c>
      <c r="AF250" s="132">
        <f t="shared" si="79"/>
        <v>0</v>
      </c>
      <c r="AG250" s="132">
        <f t="shared" si="79"/>
        <v>0</v>
      </c>
      <c r="AH250" s="132">
        <f t="shared" si="79"/>
        <v>0</v>
      </c>
      <c r="AI250" s="132">
        <f t="shared" si="79"/>
        <v>0</v>
      </c>
      <c r="AJ250" s="132">
        <f t="shared" si="79"/>
        <v>0</v>
      </c>
      <c r="AK250" s="132">
        <f t="shared" si="79"/>
        <v>0</v>
      </c>
    </row>
    <row r="251" spans="1:37" s="11" customFormat="1" ht="14.25" customHeight="1" x14ac:dyDescent="0.3">
      <c r="A251" s="109" t="s">
        <v>258</v>
      </c>
      <c r="B251" s="31"/>
      <c r="C251" s="11" t="s">
        <v>64</v>
      </c>
      <c r="D251" s="106"/>
      <c r="E251" s="106"/>
      <c r="F251" s="106"/>
      <c r="G251" s="106"/>
      <c r="H251" s="152">
        <f t="shared" ref="H251:V251" si="80">IF(H17&gt;ev_periode_jaar,0,H$113)</f>
        <v>0</v>
      </c>
      <c r="I251" s="152">
        <f t="shared" si="80"/>
        <v>0</v>
      </c>
      <c r="J251" s="152">
        <f t="shared" si="80"/>
        <v>0</v>
      </c>
      <c r="K251" s="152">
        <f t="shared" si="80"/>
        <v>0</v>
      </c>
      <c r="L251" s="152">
        <f t="shared" si="80"/>
        <v>0</v>
      </c>
      <c r="M251" s="152">
        <f t="shared" si="80"/>
        <v>0</v>
      </c>
      <c r="N251" s="152">
        <f t="shared" si="80"/>
        <v>0</v>
      </c>
      <c r="O251" s="152">
        <f t="shared" si="80"/>
        <v>0</v>
      </c>
      <c r="P251" s="152">
        <f t="shared" si="80"/>
        <v>0</v>
      </c>
      <c r="Q251" s="152">
        <f t="shared" si="80"/>
        <v>0</v>
      </c>
      <c r="R251" s="152">
        <f t="shared" si="80"/>
        <v>0</v>
      </c>
      <c r="S251" s="152">
        <f t="shared" si="80"/>
        <v>0</v>
      </c>
      <c r="T251" s="152">
        <f t="shared" si="80"/>
        <v>0</v>
      </c>
      <c r="U251" s="152">
        <f t="shared" si="80"/>
        <v>0</v>
      </c>
      <c r="V251" s="152">
        <f t="shared" si="80"/>
        <v>0</v>
      </c>
      <c r="W251" s="132">
        <f t="shared" ref="W251:AK251" si="81">IF(W17&gt;ev_periode_jaar,0,W$113*$B$19)</f>
        <v>0</v>
      </c>
      <c r="X251" s="132">
        <f t="shared" si="81"/>
        <v>0</v>
      </c>
      <c r="Y251" s="132">
        <f t="shared" si="81"/>
        <v>0</v>
      </c>
      <c r="Z251" s="132">
        <f t="shared" si="81"/>
        <v>0</v>
      </c>
      <c r="AA251" s="132">
        <f t="shared" si="81"/>
        <v>0</v>
      </c>
      <c r="AB251" s="132">
        <f t="shared" si="81"/>
        <v>0</v>
      </c>
      <c r="AC251" s="132">
        <f t="shared" si="81"/>
        <v>0</v>
      </c>
      <c r="AD251" s="132">
        <f t="shared" si="81"/>
        <v>0</v>
      </c>
      <c r="AE251" s="132">
        <f t="shared" si="81"/>
        <v>0</v>
      </c>
      <c r="AF251" s="132">
        <f t="shared" si="81"/>
        <v>0</v>
      </c>
      <c r="AG251" s="132">
        <f t="shared" si="81"/>
        <v>0</v>
      </c>
      <c r="AH251" s="132">
        <f t="shared" si="81"/>
        <v>0</v>
      </c>
      <c r="AI251" s="132">
        <f t="shared" si="81"/>
        <v>0</v>
      </c>
      <c r="AJ251" s="132">
        <f t="shared" si="81"/>
        <v>0</v>
      </c>
      <c r="AK251" s="132">
        <f t="shared" si="81"/>
        <v>0</v>
      </c>
    </row>
    <row r="252" spans="1:37" s="11" customFormat="1" ht="14.25" customHeight="1" x14ac:dyDescent="0.3">
      <c r="A252" s="350" t="s">
        <v>259</v>
      </c>
      <c r="B252" s="354"/>
      <c r="C252" s="354" t="s">
        <v>64</v>
      </c>
      <c r="D252" s="355">
        <f>SUM(D249:D250)</f>
        <v>0</v>
      </c>
      <c r="E252" s="355">
        <f>SUM(E249:E250)</f>
        <v>0</v>
      </c>
      <c r="F252" s="355">
        <f>SUM(F249:F250)</f>
        <v>0</v>
      </c>
      <c r="G252" s="355">
        <f>SUM(G249:G250)</f>
        <v>0</v>
      </c>
      <c r="H252" s="352">
        <f t="shared" ref="H252:AK252" si="82">IF(H69&gt;ev_periode_jaar,0,SUM(H249:H251))</f>
        <v>3046214.6392838336</v>
      </c>
      <c r="I252" s="352">
        <f t="shared" si="82"/>
        <v>3069209.4112690892</v>
      </c>
      <c r="J252" s="352">
        <f t="shared" si="82"/>
        <v>3092664.0786940493</v>
      </c>
      <c r="K252" s="352">
        <f t="shared" si="82"/>
        <v>3788587.8394673076</v>
      </c>
      <c r="L252" s="352">
        <f t="shared" si="82"/>
        <v>4548990.075456284</v>
      </c>
      <c r="M252" s="352">
        <f t="shared" si="82"/>
        <v>5309880.3561650384</v>
      </c>
      <c r="N252" s="352">
        <f t="shared" si="82"/>
        <v>6071268.4424879663</v>
      </c>
      <c r="O252" s="352">
        <f t="shared" si="82"/>
        <v>6833164.2905371822</v>
      </c>
      <c r="P252" s="352">
        <f t="shared" si="82"/>
        <v>7595578.0555475559</v>
      </c>
      <c r="Q252" s="352">
        <f t="shared" si="82"/>
        <v>8358520.0958581343</v>
      </c>
      <c r="R252" s="352">
        <f t="shared" si="82"/>
        <v>9122000.9769749232</v>
      </c>
      <c r="S252" s="352">
        <f t="shared" si="82"/>
        <v>9886031.4757138789</v>
      </c>
      <c r="T252" s="352">
        <f t="shared" si="82"/>
        <v>10650622.584427785</v>
      </c>
      <c r="U252" s="352">
        <f t="shared" si="82"/>
        <v>11415785.515315969</v>
      </c>
      <c r="V252" s="352">
        <f t="shared" si="82"/>
        <v>12181531.704821745</v>
      </c>
      <c r="W252" s="352">
        <f t="shared" si="82"/>
        <v>0</v>
      </c>
      <c r="X252" s="352">
        <f t="shared" si="82"/>
        <v>0</v>
      </c>
      <c r="Y252" s="352">
        <f t="shared" si="82"/>
        <v>0</v>
      </c>
      <c r="Z252" s="352">
        <f t="shared" si="82"/>
        <v>0</v>
      </c>
      <c r="AA252" s="352">
        <f t="shared" si="82"/>
        <v>0</v>
      </c>
      <c r="AB252" s="352">
        <f t="shared" si="82"/>
        <v>0</v>
      </c>
      <c r="AC252" s="352">
        <f t="shared" si="82"/>
        <v>0</v>
      </c>
      <c r="AD252" s="352">
        <f t="shared" si="82"/>
        <v>0</v>
      </c>
      <c r="AE252" s="352">
        <f t="shared" si="82"/>
        <v>0</v>
      </c>
      <c r="AF252" s="352">
        <f t="shared" si="82"/>
        <v>0</v>
      </c>
      <c r="AG252" s="352">
        <f t="shared" si="82"/>
        <v>0</v>
      </c>
      <c r="AH252" s="352">
        <f t="shared" si="82"/>
        <v>0</v>
      </c>
      <c r="AI252" s="352">
        <f t="shared" si="82"/>
        <v>0</v>
      </c>
      <c r="AJ252" s="352">
        <f t="shared" si="82"/>
        <v>0</v>
      </c>
      <c r="AK252" s="352">
        <f t="shared" si="82"/>
        <v>0</v>
      </c>
    </row>
    <row r="253" spans="1:37" s="11" customFormat="1" ht="14.25" customHeight="1" x14ac:dyDescent="0.3">
      <c r="H253" s="110"/>
      <c r="I253" s="110"/>
      <c r="J253" s="110"/>
      <c r="K253" s="110"/>
      <c r="L253" s="110"/>
      <c r="M253" s="110"/>
      <c r="N253" s="110"/>
      <c r="O253" s="110"/>
      <c r="P253" s="110"/>
      <c r="Q253" s="110"/>
      <c r="R253" s="110"/>
      <c r="S253" s="110"/>
      <c r="T253" s="110"/>
      <c r="U253" s="110"/>
      <c r="V253" s="110"/>
      <c r="W253" s="110"/>
      <c r="X253" s="110"/>
      <c r="Y253" s="110"/>
      <c r="Z253" s="110"/>
      <c r="AA253" s="110"/>
      <c r="AB253" s="110"/>
      <c r="AC253" s="110"/>
      <c r="AD253" s="110"/>
      <c r="AE253" s="110"/>
      <c r="AF253" s="110"/>
      <c r="AG253" s="110"/>
      <c r="AH253" s="110"/>
      <c r="AI253" s="110"/>
      <c r="AJ253" s="110"/>
      <c r="AK253" s="110"/>
    </row>
    <row r="254" spans="1:37" s="11" customFormat="1" ht="14.25" customHeight="1" x14ac:dyDescent="0.3">
      <c r="A254" s="113" t="s">
        <v>260</v>
      </c>
      <c r="B254" s="110"/>
      <c r="C254" s="87" t="s">
        <v>252</v>
      </c>
      <c r="G254" s="109"/>
      <c r="H254" s="152"/>
      <c r="I254" s="152"/>
      <c r="J254" s="152"/>
      <c r="K254" s="152"/>
      <c r="L254" s="152"/>
      <c r="M254" s="152"/>
      <c r="N254" s="152"/>
      <c r="O254" s="152"/>
      <c r="P254" s="152"/>
      <c r="Q254" s="152"/>
      <c r="R254" s="110"/>
      <c r="S254" s="110"/>
      <c r="T254" s="110"/>
      <c r="U254" s="110"/>
      <c r="V254" s="110"/>
      <c r="W254" s="110"/>
      <c r="X254" s="110"/>
      <c r="Y254" s="110"/>
      <c r="Z254" s="110"/>
      <c r="AA254" s="110"/>
      <c r="AB254" s="110"/>
      <c r="AC254" s="110"/>
      <c r="AD254" s="110"/>
      <c r="AE254" s="110"/>
      <c r="AF254" s="110"/>
      <c r="AG254" s="110"/>
      <c r="AH254" s="110"/>
      <c r="AI254" s="110"/>
      <c r="AJ254" s="110"/>
      <c r="AK254" s="110"/>
    </row>
    <row r="255" spans="1:37" s="11" customFormat="1" ht="14.25" customHeight="1" x14ac:dyDescent="0.3">
      <c r="A255" s="11" t="s">
        <v>261</v>
      </c>
      <c r="B255" s="31"/>
      <c r="C255" s="11" t="s">
        <v>64</v>
      </c>
      <c r="D255" s="106"/>
      <c r="E255" s="106"/>
      <c r="F255" s="106"/>
      <c r="G255" s="106"/>
      <c r="H255" s="152">
        <f t="shared" ref="H255:AK255" si="83">IF(H17&gt;$B$128,0,-ABS(SUM($D$34:$G$34))/$B$128)</f>
        <v>-805200</v>
      </c>
      <c r="I255" s="152">
        <f t="shared" si="83"/>
        <v>-805200</v>
      </c>
      <c r="J255" s="152">
        <f t="shared" si="83"/>
        <v>-805200</v>
      </c>
      <c r="K255" s="152">
        <f t="shared" si="83"/>
        <v>-805200</v>
      </c>
      <c r="L255" s="152">
        <f t="shared" si="83"/>
        <v>-805200</v>
      </c>
      <c r="M255" s="152">
        <f t="shared" si="83"/>
        <v>-805200</v>
      </c>
      <c r="N255" s="152">
        <f t="shared" si="83"/>
        <v>-805200</v>
      </c>
      <c r="O255" s="152">
        <f t="shared" si="83"/>
        <v>-805200</v>
      </c>
      <c r="P255" s="152">
        <f t="shared" si="83"/>
        <v>-805200</v>
      </c>
      <c r="Q255" s="152">
        <f t="shared" si="83"/>
        <v>-805200</v>
      </c>
      <c r="R255" s="132">
        <f t="shared" si="83"/>
        <v>0</v>
      </c>
      <c r="S255" s="132">
        <f t="shared" si="83"/>
        <v>0</v>
      </c>
      <c r="T255" s="132">
        <f t="shared" si="83"/>
        <v>0</v>
      </c>
      <c r="U255" s="132">
        <f t="shared" si="83"/>
        <v>0</v>
      </c>
      <c r="V255" s="132">
        <f t="shared" si="83"/>
        <v>0</v>
      </c>
      <c r="W255" s="132">
        <f t="shared" si="83"/>
        <v>0</v>
      </c>
      <c r="X255" s="132">
        <f t="shared" si="83"/>
        <v>0</v>
      </c>
      <c r="Y255" s="132">
        <f t="shared" si="83"/>
        <v>0</v>
      </c>
      <c r="Z255" s="132">
        <f t="shared" si="83"/>
        <v>0</v>
      </c>
      <c r="AA255" s="132">
        <f t="shared" si="83"/>
        <v>0</v>
      </c>
      <c r="AB255" s="132">
        <f t="shared" si="83"/>
        <v>0</v>
      </c>
      <c r="AC255" s="132">
        <f t="shared" si="83"/>
        <v>0</v>
      </c>
      <c r="AD255" s="132">
        <f t="shared" si="83"/>
        <v>0</v>
      </c>
      <c r="AE255" s="132">
        <f t="shared" si="83"/>
        <v>0</v>
      </c>
      <c r="AF255" s="132">
        <f t="shared" si="83"/>
        <v>0</v>
      </c>
      <c r="AG255" s="132">
        <f t="shared" si="83"/>
        <v>0</v>
      </c>
      <c r="AH255" s="132">
        <f t="shared" si="83"/>
        <v>0</v>
      </c>
      <c r="AI255" s="132">
        <f t="shared" si="83"/>
        <v>0</v>
      </c>
      <c r="AJ255" s="132">
        <f t="shared" si="83"/>
        <v>0</v>
      </c>
      <c r="AK255" s="132">
        <f t="shared" si="83"/>
        <v>0</v>
      </c>
    </row>
    <row r="256" spans="1:37" s="11" customFormat="1" ht="14.25" customHeight="1" x14ac:dyDescent="0.3">
      <c r="A256" s="109" t="s">
        <v>262</v>
      </c>
      <c r="B256" s="110"/>
      <c r="C256" s="109" t="s">
        <v>64</v>
      </c>
      <c r="D256" s="106"/>
      <c r="E256" s="106"/>
      <c r="F256" s="106"/>
      <c r="G256" s="106"/>
      <c r="H256" s="152">
        <f t="shared" ref="H256:AK256" ca="1" si="84">IF(H17&gt;ev_periode_jaar,0,H252+H246+H255)</f>
        <v>1070662.8255151405</v>
      </c>
      <c r="I256" s="152">
        <f t="shared" ca="1" si="84"/>
        <v>1082446.6019207302</v>
      </c>
      <c r="J256" s="152">
        <f t="shared" ca="1" si="84"/>
        <v>1094647.4036860242</v>
      </c>
      <c r="K256" s="152">
        <f t="shared" ca="1" si="84"/>
        <v>1779273.5713180164</v>
      </c>
      <c r="L256" s="152">
        <f t="shared" ca="1" si="84"/>
        <v>2528333.6121344948</v>
      </c>
      <c r="M256" s="152">
        <f t="shared" ca="1" si="84"/>
        <v>3277836.2035988942</v>
      </c>
      <c r="N256" s="152">
        <f t="shared" ca="1" si="84"/>
        <v>4048370.1671693176</v>
      </c>
      <c r="O256" s="152">
        <f t="shared" ca="1" si="84"/>
        <v>4819364.560433669</v>
      </c>
      <c r="P256" s="152">
        <f t="shared" ca="1" si="84"/>
        <v>5590828.5919861719</v>
      </c>
      <c r="Q256" s="152">
        <f t="shared" ca="1" si="84"/>
        <v>6362771.6545924116</v>
      </c>
      <c r="R256" s="152">
        <f t="shared" ca="1" si="84"/>
        <v>7940403.3288734658</v>
      </c>
      <c r="S256" s="152">
        <f t="shared" ca="1" si="84"/>
        <v>8704072.0944631658</v>
      </c>
      <c r="T256" s="152">
        <f t="shared" ca="1" si="84"/>
        <v>9468249.2116395142</v>
      </c>
      <c r="U256" s="152">
        <f t="shared" ca="1" si="84"/>
        <v>10232944.847434066</v>
      </c>
      <c r="V256" s="152">
        <f t="shared" ca="1" si="84"/>
        <v>10998169.372219021</v>
      </c>
      <c r="W256" s="152">
        <f t="shared" si="84"/>
        <v>0</v>
      </c>
      <c r="X256" s="152">
        <f t="shared" si="84"/>
        <v>0</v>
      </c>
      <c r="Y256" s="152">
        <f t="shared" si="84"/>
        <v>0</v>
      </c>
      <c r="Z256" s="152">
        <f t="shared" si="84"/>
        <v>0</v>
      </c>
      <c r="AA256" s="152">
        <f t="shared" si="84"/>
        <v>0</v>
      </c>
      <c r="AB256" s="152">
        <f t="shared" si="84"/>
        <v>0</v>
      </c>
      <c r="AC256" s="152">
        <f t="shared" si="84"/>
        <v>0</v>
      </c>
      <c r="AD256" s="152">
        <f t="shared" si="84"/>
        <v>0</v>
      </c>
      <c r="AE256" s="152">
        <f t="shared" si="84"/>
        <v>0</v>
      </c>
      <c r="AF256" s="152">
        <f t="shared" si="84"/>
        <v>0</v>
      </c>
      <c r="AG256" s="152">
        <f t="shared" si="84"/>
        <v>0</v>
      </c>
      <c r="AH256" s="152">
        <f t="shared" si="84"/>
        <v>0</v>
      </c>
      <c r="AI256" s="152">
        <f t="shared" si="84"/>
        <v>0</v>
      </c>
      <c r="AJ256" s="152">
        <f t="shared" si="84"/>
        <v>0</v>
      </c>
      <c r="AK256" s="132">
        <f t="shared" si="84"/>
        <v>0</v>
      </c>
    </row>
    <row r="257" spans="1:37" s="11" customFormat="1" ht="14.25" customHeight="1" x14ac:dyDescent="0.3">
      <c r="A257" s="350" t="s">
        <v>263</v>
      </c>
      <c r="B257" s="354"/>
      <c r="C257" s="354" t="s">
        <v>64</v>
      </c>
      <c r="D257" s="356"/>
      <c r="E257" s="356"/>
      <c r="F257" s="356"/>
      <c r="G257" s="356"/>
      <c r="H257" s="352">
        <f t="shared" ref="H257:AK257" ca="1" si="85">IF(H17&gt;ev_periode_jaar,0,H256*$B$134-H110)</f>
        <v>267665.70637878514</v>
      </c>
      <c r="I257" s="352">
        <f t="shared" ca="1" si="85"/>
        <v>270611.65048018255</v>
      </c>
      <c r="J257" s="352">
        <f t="shared" ca="1" si="85"/>
        <v>273661.85092150606</v>
      </c>
      <c r="K257" s="352">
        <f t="shared" ca="1" si="85"/>
        <v>444818.3928295041</v>
      </c>
      <c r="L257" s="352">
        <f t="shared" ca="1" si="85"/>
        <v>632083.4030336237</v>
      </c>
      <c r="M257" s="352">
        <f t="shared" ca="1" si="85"/>
        <v>819459.05089972354</v>
      </c>
      <c r="N257" s="352">
        <f t="shared" ca="1" si="85"/>
        <v>1012092.5417923294</v>
      </c>
      <c r="O257" s="352">
        <f t="shared" ca="1" si="85"/>
        <v>1204841.1401084173</v>
      </c>
      <c r="P257" s="352">
        <f t="shared" ca="1" si="85"/>
        <v>1397707.147996543</v>
      </c>
      <c r="Q257" s="352">
        <f t="shared" ca="1" si="85"/>
        <v>1590692.9136481029</v>
      </c>
      <c r="R257" s="352">
        <f t="shared" ca="1" si="85"/>
        <v>1985100.8322183664</v>
      </c>
      <c r="S257" s="352">
        <f t="shared" ca="1" si="85"/>
        <v>2176018.0236157915</v>
      </c>
      <c r="T257" s="352">
        <f t="shared" ca="1" si="85"/>
        <v>2367062.3029098785</v>
      </c>
      <c r="U257" s="352">
        <f t="shared" ca="1" si="85"/>
        <v>2558236.2118585166</v>
      </c>
      <c r="V257" s="352">
        <f t="shared" ca="1" si="85"/>
        <v>2749542.3430547551</v>
      </c>
      <c r="W257" s="352">
        <f t="shared" si="85"/>
        <v>0</v>
      </c>
      <c r="X257" s="352">
        <f t="shared" si="85"/>
        <v>0</v>
      </c>
      <c r="Y257" s="352">
        <f t="shared" si="85"/>
        <v>0</v>
      </c>
      <c r="Z257" s="352">
        <f t="shared" si="85"/>
        <v>0</v>
      </c>
      <c r="AA257" s="352">
        <f t="shared" si="85"/>
        <v>0</v>
      </c>
      <c r="AB257" s="352">
        <f t="shared" si="85"/>
        <v>0</v>
      </c>
      <c r="AC257" s="352">
        <f t="shared" si="85"/>
        <v>0</v>
      </c>
      <c r="AD257" s="352">
        <f t="shared" si="85"/>
        <v>0</v>
      </c>
      <c r="AE257" s="352">
        <f t="shared" si="85"/>
        <v>0</v>
      </c>
      <c r="AF257" s="352">
        <f t="shared" si="85"/>
        <v>0</v>
      </c>
      <c r="AG257" s="352">
        <f t="shared" si="85"/>
        <v>0</v>
      </c>
      <c r="AH257" s="352">
        <f t="shared" si="85"/>
        <v>0</v>
      </c>
      <c r="AI257" s="352">
        <f t="shared" si="85"/>
        <v>0</v>
      </c>
      <c r="AJ257" s="352">
        <f t="shared" si="85"/>
        <v>0</v>
      </c>
      <c r="AK257" s="352">
        <f t="shared" si="85"/>
        <v>0</v>
      </c>
    </row>
    <row r="258" spans="1:37" s="11" customFormat="1" ht="14.25" customHeight="1" x14ac:dyDescent="0.3">
      <c r="A258" s="109"/>
      <c r="B258" s="110"/>
      <c r="G258" s="109"/>
      <c r="H258" s="152"/>
      <c r="I258" s="152"/>
      <c r="J258" s="152"/>
      <c r="K258" s="152"/>
      <c r="L258" s="152"/>
      <c r="M258" s="152"/>
      <c r="N258" s="152"/>
      <c r="O258" s="152"/>
      <c r="P258" s="152"/>
      <c r="Q258" s="152"/>
      <c r="R258" s="110"/>
      <c r="S258" s="110"/>
      <c r="T258" s="110"/>
      <c r="U258" s="110"/>
      <c r="V258" s="110"/>
      <c r="W258" s="110"/>
      <c r="X258" s="110"/>
      <c r="Y258" s="110"/>
      <c r="Z258" s="110"/>
      <c r="AA258" s="110"/>
      <c r="AB258" s="110"/>
      <c r="AC258" s="110"/>
      <c r="AD258" s="110"/>
      <c r="AE258" s="110"/>
      <c r="AF258" s="110"/>
      <c r="AG258" s="110"/>
      <c r="AH258" s="110"/>
      <c r="AI258" s="110"/>
      <c r="AJ258" s="110"/>
      <c r="AK258" s="110"/>
    </row>
    <row r="259" spans="1:37" s="11" customFormat="1" ht="14.25" customHeight="1" x14ac:dyDescent="0.3">
      <c r="A259" s="66" t="s">
        <v>264</v>
      </c>
      <c r="B259" s="31"/>
      <c r="C259" s="87" t="s">
        <v>252</v>
      </c>
      <c r="H259" s="110"/>
      <c r="I259" s="110"/>
      <c r="J259" s="110"/>
      <c r="K259" s="110"/>
      <c r="L259" s="110"/>
      <c r="M259" s="110"/>
      <c r="N259" s="110"/>
      <c r="O259" s="110"/>
      <c r="P259" s="110"/>
      <c r="Q259" s="110"/>
      <c r="R259" s="110"/>
      <c r="S259" s="110"/>
      <c r="T259" s="110"/>
      <c r="U259" s="110"/>
      <c r="V259" s="110"/>
      <c r="W259" s="110"/>
      <c r="X259" s="110"/>
      <c r="Y259" s="110"/>
      <c r="Z259" s="110"/>
      <c r="AA259" s="110"/>
      <c r="AB259" s="110"/>
      <c r="AC259" s="110"/>
      <c r="AD259" s="110"/>
      <c r="AE259" s="110"/>
      <c r="AF259" s="110"/>
      <c r="AG259" s="110"/>
      <c r="AH259" s="110"/>
      <c r="AI259" s="110"/>
      <c r="AJ259" s="110"/>
      <c r="AK259" s="110"/>
    </row>
    <row r="260" spans="1:37" s="11" customFormat="1" ht="14.25" customHeight="1" x14ac:dyDescent="0.3">
      <c r="A260" s="350" t="s">
        <v>265</v>
      </c>
      <c r="B260" s="350"/>
      <c r="C260" s="350"/>
      <c r="D260" s="350"/>
      <c r="E260" s="350"/>
      <c r="F260" s="350"/>
      <c r="G260" s="350"/>
      <c r="H260" s="357"/>
      <c r="I260" s="357"/>
      <c r="J260" s="357"/>
      <c r="K260" s="357"/>
      <c r="L260" s="357"/>
      <c r="M260" s="357"/>
      <c r="N260" s="357"/>
      <c r="O260" s="357"/>
      <c r="P260" s="357"/>
      <c r="Q260" s="357"/>
      <c r="R260" s="357"/>
      <c r="S260" s="357"/>
      <c r="T260" s="357"/>
      <c r="U260" s="357"/>
      <c r="V260" s="357"/>
      <c r="W260" s="357"/>
      <c r="X260" s="357"/>
      <c r="Y260" s="357"/>
      <c r="Z260" s="357"/>
      <c r="AA260" s="357"/>
      <c r="AB260" s="357"/>
      <c r="AC260" s="357"/>
      <c r="AD260" s="357"/>
      <c r="AE260" s="357"/>
      <c r="AF260" s="357"/>
      <c r="AG260" s="357"/>
      <c r="AH260" s="357"/>
      <c r="AI260" s="357"/>
      <c r="AJ260" s="357"/>
      <c r="AK260" s="357"/>
    </row>
    <row r="261" spans="1:37" s="11" customFormat="1" ht="14.25" customHeight="1" x14ac:dyDescent="0.3">
      <c r="A261" s="109" t="s">
        <v>266</v>
      </c>
      <c r="B261" s="110"/>
      <c r="C261" s="11" t="s">
        <v>64</v>
      </c>
      <c r="D261" s="111">
        <f>D246+D252-D257</f>
        <v>0</v>
      </c>
      <c r="E261" s="111">
        <f>E246+E252-E257</f>
        <v>0</v>
      </c>
      <c r="F261" s="111">
        <f>F246+F252-F257</f>
        <v>-8052000</v>
      </c>
      <c r="G261" s="111">
        <f>G246+G252-G257</f>
        <v>0</v>
      </c>
      <c r="H261" s="152">
        <f t="shared" ref="H261:AK261" ca="1" si="86">IF(H17&gt;ev_periode_jaar,0,H246+H252-H257)</f>
        <v>1608197.1191363554</v>
      </c>
      <c r="I261" s="152">
        <f t="shared" ca="1" si="86"/>
        <v>1617034.9514405476</v>
      </c>
      <c r="J261" s="152">
        <f t="shared" ca="1" si="86"/>
        <v>1626185.5527645182</v>
      </c>
      <c r="K261" s="152">
        <f t="shared" ca="1" si="86"/>
        <v>2139655.1784885125</v>
      </c>
      <c r="L261" s="152">
        <f t="shared" ca="1" si="86"/>
        <v>2701450.2091008713</v>
      </c>
      <c r="M261" s="152">
        <f t="shared" ca="1" si="86"/>
        <v>3263577.1526991706</v>
      </c>
      <c r="N261" s="152">
        <f t="shared" ca="1" si="86"/>
        <v>3841477.6253769882</v>
      </c>
      <c r="O261" s="152">
        <f t="shared" ca="1" si="86"/>
        <v>4419723.4203252513</v>
      </c>
      <c r="P261" s="152">
        <f t="shared" ca="1" si="86"/>
        <v>4998321.4439896289</v>
      </c>
      <c r="Q261" s="152">
        <f t="shared" ca="1" si="86"/>
        <v>5577278.7409443092</v>
      </c>
      <c r="R261" s="152">
        <f t="shared" ca="1" si="86"/>
        <v>5955302.4966550991</v>
      </c>
      <c r="S261" s="152">
        <f t="shared" ca="1" si="86"/>
        <v>6528054.0708473744</v>
      </c>
      <c r="T261" s="152">
        <f t="shared" ca="1" si="86"/>
        <v>7101186.9087296352</v>
      </c>
      <c r="U261" s="152">
        <f t="shared" ca="1" si="86"/>
        <v>7674708.6355755497</v>
      </c>
      <c r="V261" s="152">
        <f t="shared" ca="1" si="86"/>
        <v>8248627.0291642658</v>
      </c>
      <c r="W261" s="152">
        <f t="shared" si="86"/>
        <v>0</v>
      </c>
      <c r="X261" s="152">
        <f t="shared" si="86"/>
        <v>0</v>
      </c>
      <c r="Y261" s="152">
        <f t="shared" si="86"/>
        <v>0</v>
      </c>
      <c r="Z261" s="152">
        <f t="shared" si="86"/>
        <v>0</v>
      </c>
      <c r="AA261" s="152">
        <f t="shared" si="86"/>
        <v>0</v>
      </c>
      <c r="AB261" s="152">
        <f t="shared" si="86"/>
        <v>0</v>
      </c>
      <c r="AC261" s="152">
        <f t="shared" si="86"/>
        <v>0</v>
      </c>
      <c r="AD261" s="152">
        <f t="shared" si="86"/>
        <v>0</v>
      </c>
      <c r="AE261" s="152">
        <f t="shared" si="86"/>
        <v>0</v>
      </c>
      <c r="AF261" s="152">
        <f t="shared" si="86"/>
        <v>0</v>
      </c>
      <c r="AG261" s="152">
        <f t="shared" si="86"/>
        <v>0</v>
      </c>
      <c r="AH261" s="152">
        <f t="shared" si="86"/>
        <v>0</v>
      </c>
      <c r="AI261" s="152">
        <f t="shared" si="86"/>
        <v>0</v>
      </c>
      <c r="AJ261" s="152">
        <f t="shared" si="86"/>
        <v>0</v>
      </c>
      <c r="AK261" s="152">
        <f t="shared" si="86"/>
        <v>0</v>
      </c>
    </row>
    <row r="262" spans="1:37" s="11" customFormat="1" ht="14.25" customHeight="1" x14ac:dyDescent="0.3">
      <c r="A262" s="109" t="s">
        <v>267</v>
      </c>
      <c r="B262" s="109"/>
      <c r="C262" s="11" t="s">
        <v>64</v>
      </c>
      <c r="D262" s="111">
        <f>D229+SUM(D203:D204)</f>
        <v>0</v>
      </c>
      <c r="E262" s="111">
        <f>E229+SUM(E203:E204)</f>
        <v>0</v>
      </c>
      <c r="F262" s="111">
        <f>F229+SUM(F203:F204)</f>
        <v>-8052000</v>
      </c>
      <c r="G262" s="111">
        <f>G229+SUM(G203:G204)</f>
        <v>0</v>
      </c>
      <c r="H262" s="152">
        <f t="shared" ref="H262:AK262" ca="1" si="87">H261+SUM(H108:H109)</f>
        <v>1608197.1191363554</v>
      </c>
      <c r="I262" s="152">
        <f t="shared" ca="1" si="87"/>
        <v>1617034.9514405476</v>
      </c>
      <c r="J262" s="152">
        <f t="shared" ca="1" si="87"/>
        <v>1626185.5527645182</v>
      </c>
      <c r="K262" s="152">
        <f t="shared" ca="1" si="87"/>
        <v>2139655.1784885125</v>
      </c>
      <c r="L262" s="152">
        <f t="shared" ca="1" si="87"/>
        <v>2701450.2091008713</v>
      </c>
      <c r="M262" s="152">
        <f t="shared" ca="1" si="87"/>
        <v>3263577.1526991706</v>
      </c>
      <c r="N262" s="152">
        <f t="shared" ca="1" si="87"/>
        <v>3841477.6253769882</v>
      </c>
      <c r="O262" s="152">
        <f t="shared" ca="1" si="87"/>
        <v>4419723.4203252513</v>
      </c>
      <c r="P262" s="152">
        <f t="shared" ca="1" si="87"/>
        <v>4998321.4439896289</v>
      </c>
      <c r="Q262" s="152">
        <f t="shared" ca="1" si="87"/>
        <v>5577278.7409443092</v>
      </c>
      <c r="R262" s="152">
        <f t="shared" ca="1" si="87"/>
        <v>5955302.4966550991</v>
      </c>
      <c r="S262" s="152">
        <f t="shared" ca="1" si="87"/>
        <v>6528054.0708473744</v>
      </c>
      <c r="T262" s="152">
        <f t="shared" ca="1" si="87"/>
        <v>7101186.9087296352</v>
      </c>
      <c r="U262" s="152">
        <f t="shared" ca="1" si="87"/>
        <v>7674708.6355755497</v>
      </c>
      <c r="V262" s="152">
        <f t="shared" ca="1" si="87"/>
        <v>8248627.0291642658</v>
      </c>
      <c r="W262" s="152">
        <f t="shared" si="87"/>
        <v>0</v>
      </c>
      <c r="X262" s="152">
        <f t="shared" si="87"/>
        <v>0</v>
      </c>
      <c r="Y262" s="152">
        <f t="shared" si="87"/>
        <v>0</v>
      </c>
      <c r="Z262" s="152">
        <f t="shared" si="87"/>
        <v>0</v>
      </c>
      <c r="AA262" s="152">
        <f t="shared" si="87"/>
        <v>0</v>
      </c>
      <c r="AB262" s="152">
        <f t="shared" si="87"/>
        <v>0</v>
      </c>
      <c r="AC262" s="152">
        <f t="shared" si="87"/>
        <v>0</v>
      </c>
      <c r="AD262" s="152">
        <f t="shared" si="87"/>
        <v>0</v>
      </c>
      <c r="AE262" s="152">
        <f t="shared" si="87"/>
        <v>0</v>
      </c>
      <c r="AF262" s="152">
        <f t="shared" si="87"/>
        <v>0</v>
      </c>
      <c r="AG262" s="152">
        <f t="shared" si="87"/>
        <v>0</v>
      </c>
      <c r="AH262" s="152">
        <f t="shared" si="87"/>
        <v>0</v>
      </c>
      <c r="AI262" s="152">
        <f t="shared" si="87"/>
        <v>0</v>
      </c>
      <c r="AJ262" s="152">
        <f t="shared" si="87"/>
        <v>0</v>
      </c>
      <c r="AK262" s="152">
        <f t="shared" si="87"/>
        <v>0</v>
      </c>
    </row>
    <row r="263" spans="1:37" s="11" customFormat="1" ht="14.25" customHeight="1" x14ac:dyDescent="0.3">
      <c r="A263" s="66"/>
      <c r="B263" s="31"/>
      <c r="H263" s="31"/>
      <c r="I263" s="31"/>
      <c r="J263" s="31"/>
      <c r="K263" s="31"/>
      <c r="L263" s="31"/>
      <c r="M263" s="31"/>
      <c r="N263" s="31"/>
      <c r="O263" s="31"/>
      <c r="P263" s="31"/>
      <c r="Q263" s="31"/>
      <c r="R263" s="205"/>
      <c r="S263" s="205"/>
      <c r="T263" s="205"/>
      <c r="U263" s="205"/>
      <c r="V263" s="205"/>
      <c r="W263" s="205"/>
      <c r="X263" s="205"/>
      <c r="Y263" s="205"/>
      <c r="Z263" s="205"/>
      <c r="AA263" s="205"/>
      <c r="AB263" s="205"/>
      <c r="AC263" s="205"/>
      <c r="AD263" s="205"/>
      <c r="AE263" s="205"/>
      <c r="AF263" s="205"/>
      <c r="AG263" s="205"/>
      <c r="AH263" s="205"/>
      <c r="AI263" s="205"/>
      <c r="AJ263" s="205"/>
      <c r="AK263" s="205"/>
    </row>
    <row r="264" spans="1:37" s="11" customFormat="1" ht="14.25" customHeight="1" x14ac:dyDescent="0.3">
      <c r="A264" s="66" t="s">
        <v>268</v>
      </c>
      <c r="B264" s="31"/>
      <c r="C264" s="87" t="s">
        <v>252</v>
      </c>
      <c r="D264" s="105"/>
      <c r="E264" s="105"/>
      <c r="F264" s="105"/>
      <c r="G264" s="105"/>
      <c r="H264" s="105"/>
      <c r="I264" s="105"/>
      <c r="J264" s="105"/>
      <c r="K264" s="105"/>
      <c r="L264" s="105"/>
      <c r="M264" s="105"/>
      <c r="N264" s="105"/>
      <c r="O264" s="105"/>
      <c r="P264" s="105"/>
      <c r="Q264" s="105"/>
      <c r="R264" s="124"/>
      <c r="S264" s="124"/>
      <c r="T264" s="124"/>
      <c r="U264" s="124"/>
      <c r="V264" s="124"/>
      <c r="W264" s="124"/>
      <c r="X264" s="124"/>
      <c r="Y264" s="124"/>
      <c r="Z264" s="124"/>
      <c r="AA264" s="124"/>
      <c r="AB264" s="124"/>
      <c r="AC264" s="124"/>
      <c r="AD264" s="124"/>
      <c r="AE264" s="124"/>
      <c r="AF264" s="124"/>
      <c r="AG264" s="124"/>
      <c r="AH264" s="124"/>
      <c r="AI264" s="124"/>
      <c r="AJ264" s="124"/>
      <c r="AK264" s="124"/>
    </row>
    <row r="265" spans="1:37" s="11" customFormat="1" ht="14.25" customHeight="1" x14ac:dyDescent="0.3">
      <c r="A265" s="107" t="s">
        <v>269</v>
      </c>
      <c r="B265" s="107"/>
      <c r="C265" s="107" t="s">
        <v>64</v>
      </c>
      <c r="D265" s="107">
        <f>D262/(1+$B$135)^D239</f>
        <v>0</v>
      </c>
      <c r="E265" s="107">
        <f>E262/(1+$B$135)^E239</f>
        <v>0</v>
      </c>
      <c r="F265" s="107">
        <f>F262/(1+$B$135)^F239</f>
        <v>-8294767.7999999998</v>
      </c>
      <c r="G265" s="107">
        <f>G262/(1+$B$135)^G239</f>
        <v>0</v>
      </c>
      <c r="H265" s="149">
        <f t="shared" ref="H265:AK265" ca="1" si="88">IF(H17&gt;ev_periode_jaar,0,H262/(1+$B$135)^H239)</f>
        <v>1561129.0774512019</v>
      </c>
      <c r="I265" s="149">
        <f t="shared" ca="1" si="88"/>
        <v>1523766.6822989606</v>
      </c>
      <c r="J265" s="149">
        <f t="shared" ca="1" si="88"/>
        <v>1487540.1543394523</v>
      </c>
      <c r="K265" s="149">
        <f t="shared" ca="1" si="88"/>
        <v>1899948.904947557</v>
      </c>
      <c r="L265" s="149">
        <f t="shared" ca="1" si="88"/>
        <v>2328598.6055073673</v>
      </c>
      <c r="M265" s="149">
        <f t="shared" ca="1" si="88"/>
        <v>2730807.4744946919</v>
      </c>
      <c r="N265" s="149">
        <f t="shared" ca="1" si="88"/>
        <v>3120290.579421781</v>
      </c>
      <c r="O265" s="149">
        <f t="shared" ca="1" si="88"/>
        <v>3484908.3236860549</v>
      </c>
      <c r="P265" s="149">
        <f t="shared" ca="1" si="88"/>
        <v>3825779.894613069</v>
      </c>
      <c r="Q265" s="149">
        <f t="shared" ca="1" si="88"/>
        <v>4143980.2936004712</v>
      </c>
      <c r="R265" s="149">
        <f t="shared" ca="1" si="88"/>
        <v>4295351.317014562</v>
      </c>
      <c r="S265" s="149">
        <f t="shared" ca="1" si="88"/>
        <v>4570651.83431012</v>
      </c>
      <c r="T265" s="149">
        <f t="shared" ca="1" si="88"/>
        <v>4826417.3605571575</v>
      </c>
      <c r="U265" s="149">
        <f t="shared" ca="1" si="88"/>
        <v>5063553.0064251814</v>
      </c>
      <c r="V265" s="149">
        <f t="shared" ca="1" si="88"/>
        <v>5282927.6604429642</v>
      </c>
      <c r="W265" s="149">
        <f t="shared" si="88"/>
        <v>0</v>
      </c>
      <c r="X265" s="149">
        <f t="shared" si="88"/>
        <v>0</v>
      </c>
      <c r="Y265" s="149">
        <f t="shared" si="88"/>
        <v>0</v>
      </c>
      <c r="Z265" s="149">
        <f t="shared" si="88"/>
        <v>0</v>
      </c>
      <c r="AA265" s="149">
        <f t="shared" si="88"/>
        <v>0</v>
      </c>
      <c r="AB265" s="149">
        <f t="shared" si="88"/>
        <v>0</v>
      </c>
      <c r="AC265" s="149">
        <f t="shared" si="88"/>
        <v>0</v>
      </c>
      <c r="AD265" s="149">
        <f t="shared" si="88"/>
        <v>0</v>
      </c>
      <c r="AE265" s="149">
        <f t="shared" si="88"/>
        <v>0</v>
      </c>
      <c r="AF265" s="149">
        <f t="shared" si="88"/>
        <v>0</v>
      </c>
      <c r="AG265" s="149">
        <f t="shared" si="88"/>
        <v>0</v>
      </c>
      <c r="AH265" s="149">
        <f t="shared" si="88"/>
        <v>0</v>
      </c>
      <c r="AI265" s="149">
        <f t="shared" si="88"/>
        <v>0</v>
      </c>
      <c r="AJ265" s="149">
        <f t="shared" si="88"/>
        <v>0</v>
      </c>
      <c r="AK265" s="149">
        <f t="shared" si="88"/>
        <v>0</v>
      </c>
    </row>
    <row r="266" spans="1:37" s="11" customFormat="1" ht="14.25" customHeight="1" x14ac:dyDescent="0.3">
      <c r="A266" s="109" t="s">
        <v>270</v>
      </c>
      <c r="B266" s="109"/>
      <c r="C266" s="11" t="s">
        <v>64</v>
      </c>
      <c r="D266" s="111">
        <f>D265</f>
        <v>0</v>
      </c>
      <c r="E266" s="111">
        <f>D266+E265</f>
        <v>0</v>
      </c>
      <c r="F266" s="111">
        <f t="shared" ref="F266:G266" si="89">E266+F265</f>
        <v>-8294767.7999999998</v>
      </c>
      <c r="G266" s="111">
        <f t="shared" si="89"/>
        <v>-8294767.7999999998</v>
      </c>
      <c r="H266" s="111">
        <f t="shared" ref="H266:AK266" ca="1" si="90">IF(H17&gt;ev_periode_jaar,0,G266+H265)</f>
        <v>-6733638.7225487977</v>
      </c>
      <c r="I266" s="111">
        <f t="shared" ca="1" si="90"/>
        <v>-5209872.0402498376</v>
      </c>
      <c r="J266" s="111">
        <f t="shared" ca="1" si="90"/>
        <v>-3722331.8859103853</v>
      </c>
      <c r="K266" s="111">
        <f t="shared" ca="1" si="90"/>
        <v>-1822382.9809628283</v>
      </c>
      <c r="L266" s="111">
        <f t="shared" ca="1" si="90"/>
        <v>506215.62454453902</v>
      </c>
      <c r="M266" s="111">
        <f t="shared" ca="1" si="90"/>
        <v>3237023.099039231</v>
      </c>
      <c r="N266" s="111">
        <f t="shared" ca="1" si="90"/>
        <v>6357313.6784610115</v>
      </c>
      <c r="O266" s="111">
        <f t="shared" ca="1" si="90"/>
        <v>9842222.0021470673</v>
      </c>
      <c r="P266" s="111">
        <f t="shared" ca="1" si="90"/>
        <v>13668001.896760136</v>
      </c>
      <c r="Q266" s="111">
        <f t="shared" ca="1" si="90"/>
        <v>17811982.190360606</v>
      </c>
      <c r="R266" s="111">
        <f t="shared" ca="1" si="90"/>
        <v>22107333.507375166</v>
      </c>
      <c r="S266" s="111">
        <f t="shared" ca="1" si="90"/>
        <v>26677985.341685288</v>
      </c>
      <c r="T266" s="111">
        <f t="shared" ca="1" si="90"/>
        <v>31504402.702242445</v>
      </c>
      <c r="U266" s="111">
        <f t="shared" ca="1" si="90"/>
        <v>36567955.708667628</v>
      </c>
      <c r="V266" s="111">
        <f t="shared" ca="1" si="90"/>
        <v>41850883.369110592</v>
      </c>
      <c r="W266" s="111">
        <f t="shared" si="90"/>
        <v>0</v>
      </c>
      <c r="X266" s="111">
        <f t="shared" si="90"/>
        <v>0</v>
      </c>
      <c r="Y266" s="111">
        <f t="shared" si="90"/>
        <v>0</v>
      </c>
      <c r="Z266" s="111">
        <f t="shared" si="90"/>
        <v>0</v>
      </c>
      <c r="AA266" s="111">
        <f t="shared" si="90"/>
        <v>0</v>
      </c>
      <c r="AB266" s="111">
        <f t="shared" si="90"/>
        <v>0</v>
      </c>
      <c r="AC266" s="111">
        <f t="shared" si="90"/>
        <v>0</v>
      </c>
      <c r="AD266" s="111">
        <f t="shared" si="90"/>
        <v>0</v>
      </c>
      <c r="AE266" s="111">
        <f t="shared" si="90"/>
        <v>0</v>
      </c>
      <c r="AF266" s="111">
        <f t="shared" si="90"/>
        <v>0</v>
      </c>
      <c r="AG266" s="111">
        <f t="shared" si="90"/>
        <v>0</v>
      </c>
      <c r="AH266" s="111">
        <f t="shared" si="90"/>
        <v>0</v>
      </c>
      <c r="AI266" s="111">
        <f t="shared" si="90"/>
        <v>0</v>
      </c>
      <c r="AJ266" s="111">
        <f t="shared" si="90"/>
        <v>0</v>
      </c>
      <c r="AK266" s="111">
        <f t="shared" si="90"/>
        <v>0</v>
      </c>
    </row>
    <row r="267" spans="1:37" s="11" customFormat="1" ht="14.25" customHeight="1" x14ac:dyDescent="0.3">
      <c r="A267" s="109" t="s">
        <v>271</v>
      </c>
      <c r="B267" s="109"/>
      <c r="D267" s="111"/>
      <c r="E267" s="111">
        <f>IFERROR(IF(E266&lt;0,1,-D262/E265),0)</f>
        <v>0</v>
      </c>
      <c r="F267" s="111">
        <f>IF(F266&lt;0,1,-E262/F265)</f>
        <v>1</v>
      </c>
      <c r="G267" s="111">
        <f>IF(G266&lt;0,1,-F262/G265)</f>
        <v>1</v>
      </c>
      <c r="H267" s="111">
        <f t="shared" ref="H267:AK267" ca="1" si="91">IF(H17&gt;ev_periode_jaar,0,IF(H266&lt;0,1,-G262/H265))</f>
        <v>1</v>
      </c>
      <c r="I267" s="111">
        <f t="shared" ca="1" si="91"/>
        <v>1</v>
      </c>
      <c r="J267" s="111">
        <f t="shared" ca="1" si="91"/>
        <v>1</v>
      </c>
      <c r="K267" s="111">
        <f t="shared" ca="1" si="91"/>
        <v>1</v>
      </c>
      <c r="L267" s="111">
        <f t="shared" ca="1" si="91"/>
        <v>-0.91885959796936034</v>
      </c>
      <c r="M267" s="111">
        <f t="shared" ca="1" si="91"/>
        <v>-0.98924960266587347</v>
      </c>
      <c r="N267" s="111">
        <f t="shared" ca="1" si="91"/>
        <v>-1.0459209069252589</v>
      </c>
      <c r="O267" s="111">
        <f t="shared" ca="1" si="91"/>
        <v>-1.1023181296527718</v>
      </c>
      <c r="P267" s="111">
        <f t="shared" ca="1" si="91"/>
        <v>-1.1552476990504579</v>
      </c>
      <c r="Q267" s="111">
        <f t="shared" ca="1" si="91"/>
        <v>-1.206164385411898</v>
      </c>
      <c r="R267" s="111">
        <f t="shared" ca="1" si="91"/>
        <v>-1.2984453026814899</v>
      </c>
      <c r="S267" s="111">
        <f t="shared" ca="1" si="91"/>
        <v>-1.302943805947095</v>
      </c>
      <c r="T267" s="111">
        <f t="shared" ca="1" si="91"/>
        <v>-1.3525672529268753</v>
      </c>
      <c r="U267" s="111">
        <f t="shared" ca="1" si="91"/>
        <v>-1.4024118834578969</v>
      </c>
      <c r="V267" s="111">
        <f t="shared" ca="1" si="91"/>
        <v>-1.4527377864818309</v>
      </c>
      <c r="W267" s="111">
        <f t="shared" si="91"/>
        <v>0</v>
      </c>
      <c r="X267" s="111">
        <f t="shared" si="91"/>
        <v>0</v>
      </c>
      <c r="Y267" s="111">
        <f t="shared" si="91"/>
        <v>0</v>
      </c>
      <c r="Z267" s="111">
        <f t="shared" si="91"/>
        <v>0</v>
      </c>
      <c r="AA267" s="111">
        <f t="shared" si="91"/>
        <v>0</v>
      </c>
      <c r="AB267" s="111">
        <f t="shared" si="91"/>
        <v>0</v>
      </c>
      <c r="AC267" s="111">
        <f t="shared" si="91"/>
        <v>0</v>
      </c>
      <c r="AD267" s="111">
        <f t="shared" si="91"/>
        <v>0</v>
      </c>
      <c r="AE267" s="111">
        <f t="shared" si="91"/>
        <v>0</v>
      </c>
      <c r="AF267" s="111">
        <f t="shared" si="91"/>
        <v>0</v>
      </c>
      <c r="AG267" s="111">
        <f t="shared" si="91"/>
        <v>0</v>
      </c>
      <c r="AH267" s="111">
        <f t="shared" si="91"/>
        <v>0</v>
      </c>
      <c r="AI267" s="111">
        <f t="shared" si="91"/>
        <v>0</v>
      </c>
      <c r="AJ267" s="111">
        <f t="shared" si="91"/>
        <v>0</v>
      </c>
      <c r="AK267" s="111">
        <f t="shared" si="91"/>
        <v>0</v>
      </c>
    </row>
    <row r="268" spans="1:37" s="11" customFormat="1" ht="15.6" x14ac:dyDescent="0.3">
      <c r="O268" s="162"/>
    </row>
    <row r="269" spans="1:37" s="11" customFormat="1" ht="21" x14ac:dyDescent="0.4">
      <c r="A269" s="215" t="s">
        <v>76</v>
      </c>
      <c r="B269" s="216"/>
      <c r="O269" s="162"/>
    </row>
    <row r="270" spans="1:37" s="11" customFormat="1" ht="14.25" customHeight="1" x14ac:dyDescent="0.35">
      <c r="A270" s="217" t="s">
        <v>272</v>
      </c>
      <c r="B270" s="218">
        <f ca="1">SUM(D233:G233)+NPV($B$135,H230:AK230)</f>
        <v>13892978.114371926</v>
      </c>
      <c r="O270" s="162"/>
    </row>
    <row r="271" spans="1:37" s="11" customFormat="1" ht="14.25" customHeight="1" x14ac:dyDescent="0.35">
      <c r="A271" s="217" t="s">
        <v>273</v>
      </c>
      <c r="B271" s="219">
        <f ca="1">IFERROR(IRR(D230:AK230),"/")</f>
        <v>0.14943720141977068</v>
      </c>
      <c r="O271" s="162"/>
    </row>
    <row r="272" spans="1:37" s="11" customFormat="1" ht="18" x14ac:dyDescent="0.35">
      <c r="A272" s="217" t="s">
        <v>68</v>
      </c>
      <c r="B272" s="220">
        <f ca="1">IF(SUMIF(E235:AK235,"&gt;0")-SUMIF(E235:Q235,"&gt;1")&gt;ev_periode_jaar,"/",SUMIF(E235:AK235,"&gt;0")-SUMIF(E235:Q235,"&gt;1"))</f>
        <v>9</v>
      </c>
      <c r="O272" s="162"/>
    </row>
    <row r="273" spans="1:15" s="11" customFormat="1" ht="18" x14ac:dyDescent="0.35">
      <c r="A273" s="217" t="s">
        <v>274</v>
      </c>
      <c r="B273" s="219">
        <f ca="1">B270/ABS(SUM(D233:G233))</f>
        <v>1.6749086230445083</v>
      </c>
      <c r="C273" s="109"/>
      <c r="O273" s="162"/>
    </row>
    <row r="274" spans="1:15" s="11" customFormat="1" ht="18" x14ac:dyDescent="0.35">
      <c r="A274" s="214"/>
      <c r="B274" s="214"/>
      <c r="C274" s="109"/>
      <c r="O274" s="162"/>
    </row>
    <row r="275" spans="1:15" s="11" customFormat="1" ht="14.25" customHeight="1" x14ac:dyDescent="0.3">
      <c r="A275" s="109"/>
      <c r="B275" s="109"/>
      <c r="C275" s="109"/>
      <c r="O275" s="162"/>
    </row>
    <row r="276" spans="1:15" s="11" customFormat="1" ht="21" x14ac:dyDescent="0.4">
      <c r="A276" s="215" t="s">
        <v>77</v>
      </c>
      <c r="B276" s="216"/>
      <c r="C276" s="109"/>
      <c r="O276" s="162"/>
    </row>
    <row r="277" spans="1:15" s="11" customFormat="1" ht="14.25" customHeight="1" x14ac:dyDescent="0.35">
      <c r="A277" s="217" t="s">
        <v>272</v>
      </c>
      <c r="B277" s="218">
        <f ca="1">SUM(D265:G265)+NPV($B$135,H262:AK262)</f>
        <v>41850883.369110569</v>
      </c>
      <c r="C277" s="109"/>
      <c r="O277" s="162"/>
    </row>
    <row r="278" spans="1:15" s="11" customFormat="1" ht="14.25" customHeight="1" x14ac:dyDescent="0.35">
      <c r="A278" s="217" t="s">
        <v>273</v>
      </c>
      <c r="B278" s="219">
        <f ca="1">IFERROR(IRR(D262:AK262),"/")</f>
        <v>0.25829254814691938</v>
      </c>
      <c r="C278" s="109"/>
      <c r="O278" s="162"/>
    </row>
    <row r="279" spans="1:15" s="11" customFormat="1" ht="14.25" customHeight="1" x14ac:dyDescent="0.35">
      <c r="A279" s="217" t="s">
        <v>68</v>
      </c>
      <c r="B279" s="220">
        <f ca="1">IF(SUMIF(E267:AK267,"&gt;0")-SUMIF(E267:Q267,"&gt;1")&gt;ev_periode_jaar,"/",SUMIF(E267:AK267,"&gt;0")-SUMIF(E267:Q267,"&gt;1"))</f>
        <v>6</v>
      </c>
      <c r="C279" s="109"/>
      <c r="O279" s="162"/>
    </row>
    <row r="280" spans="1:15" s="11" customFormat="1" ht="18" x14ac:dyDescent="0.35">
      <c r="A280" s="217" t="s">
        <v>274</v>
      </c>
      <c r="B280" s="219">
        <f ca="1">B277/ABS(SUM(D265:G265))</f>
        <v>5.0454556870308735</v>
      </c>
      <c r="C280" s="109"/>
      <c r="O280" s="162"/>
    </row>
    <row r="281" spans="1:15" s="11" customFormat="1" ht="15.6" x14ac:dyDescent="0.3">
      <c r="C281" s="109"/>
      <c r="O281" s="162"/>
    </row>
    <row r="282" spans="1:15" s="11" customFormat="1" ht="14.25" customHeight="1" x14ac:dyDescent="0.3">
      <c r="C282" s="109"/>
      <c r="O282" s="162"/>
    </row>
    <row r="283" spans="1:15" s="11" customFormat="1" ht="14.25" customHeight="1" x14ac:dyDescent="0.3">
      <c r="C283" s="109"/>
      <c r="O283" s="162"/>
    </row>
    <row r="284" spans="1:15" s="11" customFormat="1" ht="14.25" customHeight="1" x14ac:dyDescent="0.3">
      <c r="C284" s="109"/>
      <c r="O284" s="162"/>
    </row>
    <row r="285" spans="1:15" s="11" customFormat="1" ht="14.25" customHeight="1" x14ac:dyDescent="0.3">
      <c r="A285" s="109"/>
      <c r="B285" s="109"/>
      <c r="C285" s="109"/>
      <c r="O285" s="162"/>
    </row>
    <row r="286" spans="1:15" s="11" customFormat="1" ht="14.25" customHeight="1" x14ac:dyDescent="0.3">
      <c r="A286" s="109"/>
      <c r="B286" s="109"/>
      <c r="C286" s="109"/>
      <c r="O286" s="162"/>
    </row>
    <row r="287" spans="1:15" s="11" customFormat="1" ht="14.25" customHeight="1" x14ac:dyDescent="0.3">
      <c r="A287" s="109"/>
      <c r="B287" s="109"/>
      <c r="C287" s="109"/>
      <c r="O287" s="162"/>
    </row>
    <row r="288" spans="1:15" s="11" customFormat="1" ht="14.25" customHeight="1" x14ac:dyDescent="0.3">
      <c r="A288" s="109"/>
      <c r="B288" s="109"/>
      <c r="C288" s="109"/>
      <c r="O288" s="162"/>
    </row>
    <row r="289" spans="1:37" s="11" customFormat="1" ht="14.25" customHeight="1" x14ac:dyDescent="0.3">
      <c r="O289" s="162"/>
    </row>
    <row r="290" spans="1:37" s="11" customFormat="1" ht="14.25" customHeight="1" x14ac:dyDescent="0.3">
      <c r="O290" s="162"/>
    </row>
    <row r="291" spans="1:37" s="11" customFormat="1" ht="14.25" customHeight="1" x14ac:dyDescent="0.3"/>
    <row r="292" spans="1:37" s="11" customFormat="1" ht="14.25" customHeight="1" x14ac:dyDescent="0.3"/>
    <row r="293" spans="1:37" s="11" customFormat="1" ht="14.25" customHeight="1" x14ac:dyDescent="0.3"/>
    <row r="294" spans="1:37" s="11" customFormat="1" ht="14.25" customHeight="1" x14ac:dyDescent="0.3">
      <c r="B294" s="161"/>
      <c r="C294" s="162"/>
      <c r="D294" s="162"/>
      <c r="E294" s="162"/>
      <c r="F294" s="162"/>
      <c r="G294" s="162"/>
      <c r="H294" s="162"/>
      <c r="I294" s="162"/>
      <c r="J294" s="162"/>
      <c r="K294" s="162"/>
      <c r="L294" s="162"/>
      <c r="M294" s="162"/>
      <c r="N294" s="162"/>
      <c r="O294" s="162"/>
    </row>
    <row r="295" spans="1:37" s="11" customFormat="1" ht="14.25" customHeight="1" x14ac:dyDescent="0.3">
      <c r="B295" s="161"/>
      <c r="C295" s="162"/>
      <c r="D295" s="162"/>
      <c r="E295" s="162"/>
      <c r="F295" s="162"/>
      <c r="G295" s="162"/>
      <c r="H295" s="162"/>
      <c r="I295" s="162"/>
      <c r="J295" s="162"/>
      <c r="K295" s="162"/>
      <c r="L295" s="162"/>
      <c r="M295" s="162"/>
      <c r="N295" s="162"/>
      <c r="O295" s="162"/>
    </row>
    <row r="296" spans="1:37" s="11" customFormat="1" ht="14.25" customHeight="1" x14ac:dyDescent="0.3">
      <c r="B296" s="31"/>
    </row>
    <row r="297" spans="1:37" s="11" customFormat="1" ht="14.25" customHeight="1" x14ac:dyDescent="0.3">
      <c r="B297" s="31"/>
    </row>
    <row r="298" spans="1:37" s="11" customFormat="1" ht="14.25" customHeight="1" x14ac:dyDescent="0.3">
      <c r="B298" s="31"/>
    </row>
    <row r="299" spans="1:37" s="11" customFormat="1" ht="14.25" customHeight="1" x14ac:dyDescent="0.3">
      <c r="B299" s="31"/>
    </row>
    <row r="300" spans="1:37" s="11" customFormat="1" ht="14.25" customHeight="1" x14ac:dyDescent="0.3">
      <c r="B300" s="31"/>
    </row>
    <row r="301" spans="1:37" s="11" customFormat="1" ht="14.25" customHeight="1" x14ac:dyDescent="0.3">
      <c r="B301" s="31"/>
    </row>
    <row r="302" spans="1:37" s="11" customFormat="1" ht="14.25" customHeight="1" x14ac:dyDescent="0.3">
      <c r="A302" s="109"/>
      <c r="B302" s="110"/>
      <c r="C302" s="109"/>
      <c r="D302" s="109"/>
      <c r="E302" s="109"/>
      <c r="F302" s="109"/>
      <c r="G302" s="109"/>
      <c r="H302" s="109"/>
      <c r="I302" s="109"/>
      <c r="J302" s="109"/>
      <c r="K302" s="109"/>
      <c r="L302" s="109"/>
      <c r="M302" s="109"/>
      <c r="N302" s="109"/>
      <c r="O302" s="109"/>
      <c r="P302" s="109"/>
      <c r="Q302" s="109"/>
      <c r="R302" s="109"/>
      <c r="S302" s="109"/>
      <c r="T302" s="109"/>
      <c r="U302" s="109"/>
      <c r="V302" s="109"/>
      <c r="W302" s="109"/>
      <c r="X302" s="109"/>
      <c r="Y302" s="109"/>
      <c r="Z302" s="109"/>
      <c r="AA302" s="109"/>
      <c r="AB302" s="109"/>
      <c r="AC302" s="109"/>
      <c r="AD302" s="109"/>
      <c r="AE302" s="109"/>
      <c r="AF302" s="109"/>
      <c r="AG302" s="109"/>
      <c r="AH302" s="109"/>
      <c r="AI302" s="109"/>
      <c r="AJ302" s="109"/>
      <c r="AK302" s="109"/>
    </row>
    <row r="303" spans="1:37" s="11" customFormat="1" ht="14.25" customHeight="1" x14ac:dyDescent="0.3">
      <c r="A303" s="109"/>
      <c r="B303" s="110"/>
      <c r="C303" s="109"/>
      <c r="D303" s="109"/>
      <c r="E303" s="109"/>
      <c r="F303" s="109"/>
      <c r="G303" s="109"/>
      <c r="H303" s="109"/>
      <c r="I303" s="109"/>
      <c r="J303" s="109"/>
      <c r="K303" s="109"/>
      <c r="L303" s="109"/>
      <c r="M303" s="109"/>
      <c r="N303" s="109"/>
      <c r="O303" s="109"/>
      <c r="P303" s="109"/>
      <c r="Q303" s="109"/>
      <c r="R303" s="109"/>
      <c r="S303" s="109"/>
      <c r="T303" s="109"/>
      <c r="U303" s="109"/>
      <c r="V303" s="109"/>
      <c r="W303" s="109"/>
      <c r="X303" s="109"/>
      <c r="Y303" s="109"/>
      <c r="Z303" s="109"/>
      <c r="AA303" s="109"/>
      <c r="AB303" s="109"/>
      <c r="AC303" s="109"/>
      <c r="AD303" s="109"/>
      <c r="AE303" s="109"/>
      <c r="AF303" s="109"/>
      <c r="AG303" s="109"/>
      <c r="AH303" s="109"/>
      <c r="AI303" s="109"/>
      <c r="AJ303" s="109"/>
      <c r="AK303" s="109"/>
    </row>
    <row r="304" spans="1:37" s="11" customFormat="1" ht="14.25" customHeight="1" x14ac:dyDescent="0.3">
      <c r="A304" s="109"/>
      <c r="B304" s="110"/>
      <c r="C304" s="109"/>
      <c r="D304" s="109"/>
      <c r="E304" s="109"/>
      <c r="F304" s="109"/>
      <c r="G304" s="109"/>
      <c r="H304" s="109"/>
      <c r="I304" s="109"/>
      <c r="J304" s="109"/>
      <c r="K304" s="109"/>
      <c r="L304" s="109"/>
      <c r="M304" s="109"/>
      <c r="N304" s="109"/>
      <c r="O304" s="109"/>
      <c r="P304" s="109"/>
      <c r="Q304" s="109"/>
      <c r="R304" s="109"/>
      <c r="S304" s="109"/>
      <c r="T304" s="109"/>
      <c r="U304" s="109"/>
      <c r="V304" s="109"/>
      <c r="W304" s="109"/>
      <c r="X304" s="109"/>
      <c r="Y304" s="109"/>
      <c r="Z304" s="109"/>
      <c r="AA304" s="109"/>
      <c r="AB304" s="109"/>
      <c r="AC304" s="109"/>
      <c r="AD304" s="109"/>
      <c r="AE304" s="109"/>
      <c r="AF304" s="109"/>
      <c r="AG304" s="109"/>
      <c r="AH304" s="109"/>
      <c r="AI304" s="109"/>
      <c r="AJ304" s="109"/>
      <c r="AK304" s="109"/>
    </row>
    <row r="305" spans="1:37" s="11" customFormat="1" ht="14.25" customHeight="1" x14ac:dyDescent="0.3">
      <c r="A305" s="109"/>
      <c r="B305" s="110"/>
      <c r="C305" s="109"/>
      <c r="D305" s="109"/>
      <c r="E305" s="109"/>
      <c r="F305" s="109"/>
      <c r="G305" s="109"/>
      <c r="H305" s="109"/>
      <c r="I305" s="109"/>
      <c r="J305" s="109"/>
      <c r="K305" s="109"/>
      <c r="L305" s="109"/>
      <c r="M305" s="109"/>
      <c r="N305" s="109"/>
      <c r="O305" s="109"/>
      <c r="P305" s="109"/>
      <c r="Q305" s="109"/>
      <c r="R305" s="109"/>
      <c r="S305" s="109"/>
      <c r="T305" s="109"/>
      <c r="U305" s="109"/>
      <c r="V305" s="109"/>
      <c r="W305" s="109"/>
      <c r="X305" s="109"/>
      <c r="Y305" s="109"/>
      <c r="Z305" s="109"/>
      <c r="AA305" s="109"/>
      <c r="AB305" s="109"/>
      <c r="AC305" s="109"/>
      <c r="AD305" s="109"/>
      <c r="AE305" s="109"/>
      <c r="AF305" s="109"/>
      <c r="AG305" s="109"/>
      <c r="AH305" s="109"/>
      <c r="AI305" s="109"/>
      <c r="AJ305" s="109"/>
      <c r="AK305" s="109"/>
    </row>
    <row r="306" spans="1:37" s="11" customFormat="1" ht="14.25" customHeight="1" x14ac:dyDescent="0.3">
      <c r="A306" s="109"/>
      <c r="B306" s="110"/>
      <c r="C306" s="109"/>
      <c r="D306" s="109"/>
      <c r="E306" s="109"/>
      <c r="F306" s="109"/>
      <c r="G306" s="109"/>
      <c r="H306" s="109"/>
      <c r="I306" s="109"/>
      <c r="J306" s="109"/>
      <c r="K306" s="109"/>
      <c r="L306" s="109"/>
      <c r="M306" s="109"/>
      <c r="N306" s="109"/>
      <c r="O306" s="109"/>
      <c r="P306" s="109"/>
      <c r="Q306" s="109"/>
      <c r="R306" s="109"/>
      <c r="S306" s="109"/>
      <c r="T306" s="109"/>
      <c r="U306" s="109"/>
      <c r="V306" s="109"/>
      <c r="W306" s="109"/>
      <c r="X306" s="109"/>
      <c r="Y306" s="109"/>
      <c r="Z306" s="109"/>
      <c r="AA306" s="109"/>
      <c r="AB306" s="109"/>
      <c r="AC306" s="109"/>
      <c r="AD306" s="109"/>
      <c r="AE306" s="109"/>
      <c r="AF306" s="109"/>
      <c r="AG306" s="109"/>
      <c r="AH306" s="109"/>
      <c r="AI306" s="109"/>
      <c r="AJ306" s="109"/>
      <c r="AK306" s="109"/>
    </row>
    <row r="307" spans="1:37" s="11" customFormat="1" ht="14.25" customHeight="1" x14ac:dyDescent="0.3">
      <c r="A307" s="109"/>
      <c r="B307" s="110"/>
      <c r="C307" s="109"/>
      <c r="D307" s="109"/>
      <c r="E307" s="109"/>
      <c r="F307" s="109"/>
      <c r="G307" s="109"/>
      <c r="H307" s="109"/>
      <c r="I307" s="109"/>
      <c r="J307" s="109"/>
      <c r="K307" s="109"/>
      <c r="L307" s="109"/>
      <c r="M307" s="109"/>
      <c r="N307" s="109"/>
      <c r="O307" s="109"/>
      <c r="P307" s="109"/>
      <c r="Q307" s="109"/>
      <c r="R307" s="109"/>
      <c r="S307" s="109"/>
      <c r="T307" s="109"/>
      <c r="U307" s="109"/>
      <c r="V307" s="109"/>
      <c r="W307" s="109"/>
      <c r="X307" s="109"/>
      <c r="Y307" s="109"/>
      <c r="Z307" s="109"/>
      <c r="AA307" s="109"/>
      <c r="AB307" s="109"/>
      <c r="AC307" s="109"/>
      <c r="AD307" s="109"/>
      <c r="AE307" s="109"/>
      <c r="AF307" s="109"/>
      <c r="AG307" s="109"/>
      <c r="AH307" s="109"/>
      <c r="AI307" s="109"/>
      <c r="AJ307" s="109"/>
      <c r="AK307" s="109"/>
    </row>
    <row r="308" spans="1:37" s="11" customFormat="1" ht="14.25" customHeight="1" x14ac:dyDescent="0.3">
      <c r="A308" s="109"/>
      <c r="B308" s="110"/>
      <c r="C308" s="109"/>
      <c r="D308" s="109"/>
      <c r="E308" s="109"/>
      <c r="F308" s="109"/>
      <c r="G308" s="109"/>
      <c r="H308" s="109"/>
      <c r="I308" s="109"/>
      <c r="J308" s="109"/>
      <c r="K308" s="109"/>
      <c r="L308" s="109"/>
      <c r="M308" s="109"/>
      <c r="N308" s="109"/>
      <c r="O308" s="109"/>
      <c r="P308" s="109"/>
      <c r="Q308" s="109"/>
      <c r="R308" s="109"/>
      <c r="S308" s="109"/>
      <c r="T308" s="109"/>
      <c r="U308" s="109"/>
      <c r="V308" s="109"/>
      <c r="W308" s="109"/>
      <c r="X308" s="109"/>
      <c r="Y308" s="109"/>
      <c r="Z308" s="109"/>
      <c r="AA308" s="109"/>
      <c r="AB308" s="109"/>
      <c r="AC308" s="109"/>
      <c r="AD308" s="109"/>
      <c r="AE308" s="109"/>
      <c r="AF308" s="109"/>
      <c r="AG308" s="109"/>
      <c r="AH308" s="109"/>
      <c r="AI308" s="109"/>
      <c r="AJ308" s="109"/>
      <c r="AK308" s="109"/>
    </row>
    <row r="309" spans="1:37" s="11" customFormat="1" ht="14.25" customHeight="1" x14ac:dyDescent="0.3">
      <c r="A309" s="109"/>
      <c r="B309" s="110"/>
      <c r="C309" s="109"/>
      <c r="D309" s="109"/>
      <c r="E309" s="109"/>
      <c r="F309" s="109"/>
      <c r="G309" s="109"/>
      <c r="H309" s="109"/>
      <c r="I309" s="109"/>
      <c r="J309" s="109"/>
      <c r="K309" s="109"/>
      <c r="L309" s="109"/>
      <c r="M309" s="109"/>
      <c r="N309" s="109"/>
      <c r="O309" s="109"/>
      <c r="P309" s="109"/>
      <c r="Q309" s="109"/>
      <c r="R309" s="109"/>
      <c r="S309" s="109"/>
      <c r="T309" s="109"/>
      <c r="U309" s="109"/>
      <c r="V309" s="109"/>
      <c r="W309" s="109"/>
      <c r="X309" s="109"/>
      <c r="Y309" s="109"/>
      <c r="Z309" s="109"/>
      <c r="AA309" s="109"/>
      <c r="AB309" s="109"/>
      <c r="AC309" s="109"/>
      <c r="AD309" s="109"/>
      <c r="AE309" s="109"/>
      <c r="AF309" s="109"/>
      <c r="AG309" s="109"/>
      <c r="AH309" s="109"/>
      <c r="AI309" s="109"/>
      <c r="AJ309" s="109"/>
      <c r="AK309" s="109"/>
    </row>
    <row r="310" spans="1:37" s="11" customFormat="1" ht="14.25" customHeight="1" x14ac:dyDescent="0.3">
      <c r="A310" s="109"/>
      <c r="B310" s="110"/>
      <c r="C310" s="109"/>
      <c r="D310" s="109"/>
      <c r="E310" s="109"/>
      <c r="F310" s="109"/>
      <c r="G310" s="109"/>
      <c r="H310" s="109"/>
      <c r="I310" s="109"/>
      <c r="J310" s="109"/>
      <c r="K310" s="109"/>
      <c r="L310" s="109"/>
      <c r="M310" s="109"/>
      <c r="N310" s="109"/>
      <c r="O310" s="109"/>
      <c r="P310" s="109"/>
      <c r="Q310" s="109"/>
      <c r="R310" s="109"/>
      <c r="S310" s="109"/>
      <c r="T310" s="109"/>
      <c r="U310" s="109"/>
      <c r="V310" s="109"/>
      <c r="W310" s="109"/>
      <c r="X310" s="109"/>
      <c r="Y310" s="109"/>
      <c r="Z310" s="109"/>
      <c r="AA310" s="109"/>
      <c r="AB310" s="109"/>
      <c r="AC310" s="109"/>
      <c r="AD310" s="109"/>
      <c r="AE310" s="109"/>
      <c r="AF310" s="109"/>
      <c r="AG310" s="109"/>
      <c r="AH310" s="109"/>
      <c r="AI310" s="109"/>
      <c r="AJ310" s="109"/>
      <c r="AK310" s="109"/>
    </row>
    <row r="311" spans="1:37" s="11" customFormat="1" ht="14.25" customHeight="1" x14ac:dyDescent="0.3">
      <c r="A311" s="109"/>
      <c r="B311" s="110"/>
      <c r="C311" s="109"/>
      <c r="D311" s="109"/>
      <c r="E311" s="109"/>
      <c r="F311" s="109"/>
      <c r="G311" s="109"/>
      <c r="H311" s="109"/>
      <c r="I311" s="109"/>
      <c r="J311" s="109"/>
      <c r="K311" s="109"/>
      <c r="L311" s="109"/>
      <c r="M311" s="109"/>
      <c r="N311" s="109"/>
      <c r="O311" s="109"/>
      <c r="P311" s="109"/>
      <c r="Q311" s="109"/>
      <c r="R311" s="109"/>
      <c r="S311" s="109"/>
      <c r="T311" s="109"/>
      <c r="U311" s="109"/>
      <c r="V311" s="109"/>
      <c r="W311" s="109"/>
      <c r="X311" s="109"/>
      <c r="Y311" s="109"/>
      <c r="Z311" s="109"/>
      <c r="AA311" s="109"/>
      <c r="AB311" s="109"/>
      <c r="AC311" s="109"/>
      <c r="AD311" s="109"/>
      <c r="AE311" s="109"/>
      <c r="AF311" s="109"/>
      <c r="AG311" s="109"/>
      <c r="AH311" s="109"/>
      <c r="AI311" s="109"/>
      <c r="AJ311" s="109"/>
      <c r="AK311" s="109"/>
    </row>
    <row r="312" spans="1:37" s="227" customFormat="1" ht="14.25" customHeight="1" x14ac:dyDescent="0.3">
      <c r="A312" s="232" t="s">
        <v>277</v>
      </c>
      <c r="B312" s="233"/>
    </row>
    <row r="313" spans="1:37" s="227" customFormat="1" ht="14.25" customHeight="1" x14ac:dyDescent="0.3">
      <c r="B313" s="233"/>
      <c r="D313" s="228">
        <f t="shared" ref="D313:AK313" si="92">D17</f>
        <v>-3</v>
      </c>
      <c r="E313" s="228">
        <f t="shared" si="92"/>
        <v>-2</v>
      </c>
      <c r="F313" s="228">
        <f t="shared" si="92"/>
        <v>-1</v>
      </c>
      <c r="G313" s="372">
        <f t="shared" si="92"/>
        <v>0</v>
      </c>
      <c r="H313" s="372">
        <f t="shared" si="92"/>
        <v>1</v>
      </c>
      <c r="I313" s="372">
        <f t="shared" si="92"/>
        <v>2</v>
      </c>
      <c r="J313" s="372">
        <f t="shared" si="92"/>
        <v>3</v>
      </c>
      <c r="K313" s="372">
        <f t="shared" si="92"/>
        <v>4</v>
      </c>
      <c r="L313" s="372">
        <f t="shared" si="92"/>
        <v>5</v>
      </c>
      <c r="M313" s="372">
        <f t="shared" si="92"/>
        <v>6</v>
      </c>
      <c r="N313" s="372">
        <f t="shared" si="92"/>
        <v>7</v>
      </c>
      <c r="O313" s="372">
        <f t="shared" si="92"/>
        <v>8</v>
      </c>
      <c r="P313" s="372">
        <f t="shared" si="92"/>
        <v>9</v>
      </c>
      <c r="Q313" s="372">
        <f t="shared" si="92"/>
        <v>10</v>
      </c>
      <c r="R313" s="372">
        <f t="shared" si="92"/>
        <v>11</v>
      </c>
      <c r="S313" s="372">
        <f t="shared" si="92"/>
        <v>12</v>
      </c>
      <c r="T313" s="372">
        <f t="shared" si="92"/>
        <v>13</v>
      </c>
      <c r="U313" s="372">
        <f t="shared" si="92"/>
        <v>14</v>
      </c>
      <c r="V313" s="372">
        <f t="shared" si="92"/>
        <v>15</v>
      </c>
      <c r="W313" s="372">
        <f t="shared" si="92"/>
        <v>16</v>
      </c>
      <c r="X313" s="372">
        <f t="shared" si="92"/>
        <v>17</v>
      </c>
      <c r="Y313" s="372">
        <f t="shared" si="92"/>
        <v>18</v>
      </c>
      <c r="Z313" s="372">
        <f t="shared" si="92"/>
        <v>19</v>
      </c>
      <c r="AA313" s="372">
        <f t="shared" si="92"/>
        <v>20</v>
      </c>
      <c r="AB313" s="372">
        <f t="shared" si="92"/>
        <v>21</v>
      </c>
      <c r="AC313" s="372">
        <f t="shared" si="92"/>
        <v>22</v>
      </c>
      <c r="AD313" s="372">
        <f t="shared" si="92"/>
        <v>23</v>
      </c>
      <c r="AE313" s="372">
        <f t="shared" si="92"/>
        <v>24</v>
      </c>
      <c r="AF313" s="372">
        <f t="shared" si="92"/>
        <v>25</v>
      </c>
      <c r="AG313" s="228">
        <f t="shared" si="92"/>
        <v>26</v>
      </c>
      <c r="AH313" s="228">
        <f t="shared" si="92"/>
        <v>27</v>
      </c>
      <c r="AI313" s="228">
        <f t="shared" si="92"/>
        <v>28</v>
      </c>
      <c r="AJ313" s="228">
        <f t="shared" si="92"/>
        <v>29</v>
      </c>
      <c r="AK313" s="228">
        <f t="shared" si="92"/>
        <v>30</v>
      </c>
    </row>
    <row r="314" spans="1:37" s="227" customFormat="1" ht="14.25" customHeight="1" x14ac:dyDescent="0.3">
      <c r="C314" s="229" t="s">
        <v>270</v>
      </c>
      <c r="D314" s="230">
        <f t="shared" ref="D314:AK314" si="93">IF(D17&gt;ev_periode_jaar,NA(),D170)</f>
        <v>0</v>
      </c>
      <c r="E314" s="230">
        <f t="shared" si="93"/>
        <v>0</v>
      </c>
      <c r="F314" s="230">
        <f t="shared" si="93"/>
        <v>-8294767.7999999998</v>
      </c>
      <c r="G314" s="373">
        <f t="shared" si="93"/>
        <v>-8294767.7999999998</v>
      </c>
      <c r="H314" s="373">
        <f t="shared" ca="1" si="93"/>
        <v>-6805847.1530428817</v>
      </c>
      <c r="I314" s="373">
        <f t="shared" ca="1" si="93"/>
        <v>-5349926.3472392866</v>
      </c>
      <c r="J314" s="373">
        <f t="shared" ca="1" si="93"/>
        <v>-3926051.981588773</v>
      </c>
      <c r="K314" s="373">
        <f t="shared" ca="1" si="93"/>
        <v>-2085764.4087643519</v>
      </c>
      <c r="L314" s="373">
        <f t="shared" ca="1" si="93"/>
        <v>-169851.82926154532</v>
      </c>
      <c r="M314" s="373">
        <f t="shared" ca="1" si="93"/>
        <v>1815971.1096371168</v>
      </c>
      <c r="N314" s="373">
        <f t="shared" ca="1" si="93"/>
        <v>3864982.8298866041</v>
      </c>
      <c r="O314" s="373">
        <f t="shared" ca="1" si="93"/>
        <v>5972066.3202198986</v>
      </c>
      <c r="P314" s="373">
        <f t="shared" ca="1" si="93"/>
        <v>8132347.1811589319</v>
      </c>
      <c r="Q314" s="373">
        <f t="shared" ca="1" si="93"/>
        <v>10341183.834334861</v>
      </c>
      <c r="R314" s="373">
        <f t="shared" ca="1" si="93"/>
        <v>12448967.450230081</v>
      </c>
      <c r="S314" s="373">
        <f t="shared" ca="1" si="93"/>
        <v>14609716.262289174</v>
      </c>
      <c r="T314" s="373">
        <f t="shared" ca="1" si="93"/>
        <v>16818793.568151895</v>
      </c>
      <c r="U314" s="373">
        <f t="shared" ca="1" si="93"/>
        <v>19071786.054310631</v>
      </c>
      <c r="V314" s="373">
        <f t="shared" ca="1" si="93"/>
        <v>21364494.717893917</v>
      </c>
      <c r="W314" s="373" t="e">
        <f t="shared" si="93"/>
        <v>#N/A</v>
      </c>
      <c r="X314" s="373" t="e">
        <f t="shared" si="93"/>
        <v>#N/A</v>
      </c>
      <c r="Y314" s="373" t="e">
        <f t="shared" si="93"/>
        <v>#N/A</v>
      </c>
      <c r="Z314" s="373" t="e">
        <f t="shared" si="93"/>
        <v>#N/A</v>
      </c>
      <c r="AA314" s="373" t="e">
        <f t="shared" si="93"/>
        <v>#N/A</v>
      </c>
      <c r="AB314" s="373" t="e">
        <f t="shared" si="93"/>
        <v>#N/A</v>
      </c>
      <c r="AC314" s="373" t="e">
        <f t="shared" si="93"/>
        <v>#N/A</v>
      </c>
      <c r="AD314" s="373" t="e">
        <f t="shared" si="93"/>
        <v>#N/A</v>
      </c>
      <c r="AE314" s="373" t="e">
        <f t="shared" si="93"/>
        <v>#N/A</v>
      </c>
      <c r="AF314" s="373" t="e">
        <f t="shared" si="93"/>
        <v>#N/A</v>
      </c>
      <c r="AG314" s="230" t="e">
        <f t="shared" si="93"/>
        <v>#N/A</v>
      </c>
      <c r="AH314" s="230" t="e">
        <f t="shared" si="93"/>
        <v>#N/A</v>
      </c>
      <c r="AI314" s="230" t="e">
        <f t="shared" si="93"/>
        <v>#N/A</v>
      </c>
      <c r="AJ314" s="230" t="e">
        <f t="shared" si="93"/>
        <v>#N/A</v>
      </c>
      <c r="AK314" s="230" t="e">
        <f t="shared" si="93"/>
        <v>#N/A</v>
      </c>
    </row>
    <row r="315" spans="1:37" s="227" customFormat="1" ht="14.25" customHeight="1" x14ac:dyDescent="0.3">
      <c r="C315" s="229" t="s">
        <v>278</v>
      </c>
      <c r="D315" s="230">
        <f t="shared" ref="D315:AK315" si="94">IF(D17&gt;ev_periode_jaar,NA(),D234)</f>
        <v>0</v>
      </c>
      <c r="E315" s="230">
        <f t="shared" si="94"/>
        <v>0</v>
      </c>
      <c r="F315" s="230">
        <f t="shared" si="94"/>
        <v>-8294767.7999999998</v>
      </c>
      <c r="G315" s="373">
        <f t="shared" si="94"/>
        <v>-8294767.7999999998</v>
      </c>
      <c r="H315" s="373">
        <f t="shared" ca="1" si="94"/>
        <v>-7348511.2059780089</v>
      </c>
      <c r="I315" s="373">
        <f t="shared" ca="1" si="94"/>
        <v>-6415649.306756285</v>
      </c>
      <c r="J315" s="373">
        <f t="shared" ca="1" si="94"/>
        <v>-5503174.7345195776</v>
      </c>
      <c r="K315" s="373">
        <f t="shared" ca="1" si="94"/>
        <v>-4354734.5660980921</v>
      </c>
      <c r="L315" s="373">
        <f t="shared" ca="1" si="94"/>
        <v>-3046764.169434906</v>
      </c>
      <c r="M315" s="373">
        <f t="shared" ca="1" si="94"/>
        <v>-1589366.4327383351</v>
      </c>
      <c r="N315" s="373">
        <f t="shared" ca="1" si="94"/>
        <v>-51948.440852375701</v>
      </c>
      <c r="O315" s="373">
        <f t="shared" ca="1" si="94"/>
        <v>1559772.1029900096</v>
      </c>
      <c r="P315" s="373">
        <f t="shared" ca="1" si="94"/>
        <v>3240341.5222703246</v>
      </c>
      <c r="Q315" s="373">
        <f t="shared" ca="1" si="94"/>
        <v>4984559.6309148241</v>
      </c>
      <c r="R315" s="373">
        <f t="shared" ca="1" si="94"/>
        <v>6642278.9408107828</v>
      </c>
      <c r="S315" s="373">
        <f t="shared" ca="1" si="94"/>
        <v>8366998.2802098412</v>
      </c>
      <c r="T315" s="373">
        <f t="shared" ca="1" si="94"/>
        <v>10153580.12295212</v>
      </c>
      <c r="U315" s="373">
        <f t="shared" ca="1" si="94"/>
        <v>11997128.264022177</v>
      </c>
      <c r="V315" s="373">
        <f t="shared" ca="1" si="94"/>
        <v>13892978.114371937</v>
      </c>
      <c r="W315" s="373" t="e">
        <f t="shared" si="94"/>
        <v>#N/A</v>
      </c>
      <c r="X315" s="373" t="e">
        <f t="shared" si="94"/>
        <v>#N/A</v>
      </c>
      <c r="Y315" s="373" t="e">
        <f t="shared" si="94"/>
        <v>#N/A</v>
      </c>
      <c r="Z315" s="373" t="e">
        <f t="shared" si="94"/>
        <v>#N/A</v>
      </c>
      <c r="AA315" s="373" t="e">
        <f t="shared" si="94"/>
        <v>#N/A</v>
      </c>
      <c r="AB315" s="373" t="e">
        <f t="shared" si="94"/>
        <v>#N/A</v>
      </c>
      <c r="AC315" s="373" t="e">
        <f t="shared" si="94"/>
        <v>#N/A</v>
      </c>
      <c r="AD315" s="373" t="e">
        <f t="shared" si="94"/>
        <v>#N/A</v>
      </c>
      <c r="AE315" s="373" t="e">
        <f t="shared" si="94"/>
        <v>#N/A</v>
      </c>
      <c r="AF315" s="373" t="e">
        <f t="shared" si="94"/>
        <v>#N/A</v>
      </c>
      <c r="AG315" s="230" t="e">
        <f t="shared" si="94"/>
        <v>#N/A</v>
      </c>
      <c r="AH315" s="230" t="e">
        <f t="shared" si="94"/>
        <v>#N/A</v>
      </c>
      <c r="AI315" s="230" t="e">
        <f t="shared" si="94"/>
        <v>#N/A</v>
      </c>
      <c r="AJ315" s="230" t="e">
        <f t="shared" si="94"/>
        <v>#N/A</v>
      </c>
      <c r="AK315" s="230" t="e">
        <f t="shared" si="94"/>
        <v>#N/A</v>
      </c>
    </row>
    <row r="316" spans="1:37" s="227" customFormat="1" ht="14.25" customHeight="1" x14ac:dyDescent="0.3">
      <c r="C316" s="229" t="s">
        <v>279</v>
      </c>
      <c r="D316" s="230">
        <f t="shared" ref="D316:AK316" si="95">IF(D17&gt;ev_periode_jaar,NA(),D266)</f>
        <v>0</v>
      </c>
      <c r="E316" s="230">
        <f t="shared" si="95"/>
        <v>0</v>
      </c>
      <c r="F316" s="230">
        <f t="shared" si="95"/>
        <v>-8294767.7999999998</v>
      </c>
      <c r="G316" s="373">
        <f t="shared" si="95"/>
        <v>-8294767.7999999998</v>
      </c>
      <c r="H316" s="373">
        <f t="shared" ca="1" si="95"/>
        <v>-6733638.7225487977</v>
      </c>
      <c r="I316" s="373">
        <f t="shared" ca="1" si="95"/>
        <v>-5209872.0402498376</v>
      </c>
      <c r="J316" s="373">
        <f t="shared" ca="1" si="95"/>
        <v>-3722331.8859103853</v>
      </c>
      <c r="K316" s="373">
        <f t="shared" ca="1" si="95"/>
        <v>-1822382.9809628283</v>
      </c>
      <c r="L316" s="373">
        <f t="shared" ca="1" si="95"/>
        <v>506215.62454453902</v>
      </c>
      <c r="M316" s="373">
        <f t="shared" ca="1" si="95"/>
        <v>3237023.099039231</v>
      </c>
      <c r="N316" s="373">
        <f t="shared" ca="1" si="95"/>
        <v>6357313.6784610115</v>
      </c>
      <c r="O316" s="373">
        <f t="shared" ca="1" si="95"/>
        <v>9842222.0021470673</v>
      </c>
      <c r="P316" s="373">
        <f t="shared" ca="1" si="95"/>
        <v>13668001.896760136</v>
      </c>
      <c r="Q316" s="373">
        <f t="shared" ca="1" si="95"/>
        <v>17811982.190360606</v>
      </c>
      <c r="R316" s="373">
        <f t="shared" ca="1" si="95"/>
        <v>22107333.507375166</v>
      </c>
      <c r="S316" s="373">
        <f t="shared" ca="1" si="95"/>
        <v>26677985.341685288</v>
      </c>
      <c r="T316" s="373">
        <f t="shared" ca="1" si="95"/>
        <v>31504402.702242445</v>
      </c>
      <c r="U316" s="373">
        <f t="shared" ca="1" si="95"/>
        <v>36567955.708667628</v>
      </c>
      <c r="V316" s="373">
        <f t="shared" ca="1" si="95"/>
        <v>41850883.369110592</v>
      </c>
      <c r="W316" s="373" t="e">
        <f t="shared" si="95"/>
        <v>#N/A</v>
      </c>
      <c r="X316" s="373" t="e">
        <f t="shared" si="95"/>
        <v>#N/A</v>
      </c>
      <c r="Y316" s="373" t="e">
        <f t="shared" si="95"/>
        <v>#N/A</v>
      </c>
      <c r="Z316" s="373" t="e">
        <f t="shared" si="95"/>
        <v>#N/A</v>
      </c>
      <c r="AA316" s="373" t="e">
        <f t="shared" si="95"/>
        <v>#N/A</v>
      </c>
      <c r="AB316" s="373" t="e">
        <f t="shared" si="95"/>
        <v>#N/A</v>
      </c>
      <c r="AC316" s="373" t="e">
        <f t="shared" si="95"/>
        <v>#N/A</v>
      </c>
      <c r="AD316" s="373" t="e">
        <f t="shared" si="95"/>
        <v>#N/A</v>
      </c>
      <c r="AE316" s="373" t="e">
        <f t="shared" si="95"/>
        <v>#N/A</v>
      </c>
      <c r="AF316" s="373" t="e">
        <f t="shared" si="95"/>
        <v>#N/A</v>
      </c>
      <c r="AG316" s="230" t="e">
        <f t="shared" si="95"/>
        <v>#N/A</v>
      </c>
      <c r="AH316" s="230" t="e">
        <f t="shared" si="95"/>
        <v>#N/A</v>
      </c>
      <c r="AI316" s="230" t="e">
        <f t="shared" si="95"/>
        <v>#N/A</v>
      </c>
      <c r="AJ316" s="230" t="e">
        <f t="shared" si="95"/>
        <v>#N/A</v>
      </c>
      <c r="AK316" s="230" t="e">
        <f t="shared" si="95"/>
        <v>#N/A</v>
      </c>
    </row>
    <row r="317" spans="1:37" s="227" customFormat="1" ht="14.25" customHeight="1" x14ac:dyDescent="0.3">
      <c r="C317" s="229" t="s">
        <v>280</v>
      </c>
      <c r="D317" s="230">
        <f>D316-D315</f>
        <v>0</v>
      </c>
      <c r="E317" s="230">
        <f t="shared" ref="E317:AK317" si="96">E316-E315</f>
        <v>0</v>
      </c>
      <c r="F317" s="230">
        <f t="shared" si="96"/>
        <v>0</v>
      </c>
      <c r="G317" s="373">
        <f t="shared" si="96"/>
        <v>0</v>
      </c>
      <c r="H317" s="373">
        <f t="shared" ca="1" si="96"/>
        <v>614872.48342921119</v>
      </c>
      <c r="I317" s="373">
        <f t="shared" ca="1" si="96"/>
        <v>1205777.2665064475</v>
      </c>
      <c r="J317" s="373">
        <f t="shared" ca="1" si="96"/>
        <v>1780842.8486091923</v>
      </c>
      <c r="K317" s="373">
        <f t="shared" ca="1" si="96"/>
        <v>2532351.5851352639</v>
      </c>
      <c r="L317" s="373">
        <f t="shared" ca="1" si="96"/>
        <v>3552979.793979445</v>
      </c>
      <c r="M317" s="373">
        <f t="shared" ca="1" si="96"/>
        <v>4826389.5317775663</v>
      </c>
      <c r="N317" s="373">
        <f t="shared" ca="1" si="96"/>
        <v>6409262.1193133872</v>
      </c>
      <c r="O317" s="373">
        <f t="shared" ca="1" si="96"/>
        <v>8282449.8991570575</v>
      </c>
      <c r="P317" s="373">
        <f t="shared" ca="1" si="96"/>
        <v>10427660.37448981</v>
      </c>
      <c r="Q317" s="373">
        <f t="shared" ca="1" si="96"/>
        <v>12827422.559445782</v>
      </c>
      <c r="R317" s="373">
        <f t="shared" ca="1" si="96"/>
        <v>15465054.566564383</v>
      </c>
      <c r="S317" s="373">
        <f t="shared" ca="1" si="96"/>
        <v>18310987.061475448</v>
      </c>
      <c r="T317" s="373">
        <f t="shared" ca="1" si="96"/>
        <v>21350822.579290323</v>
      </c>
      <c r="U317" s="373">
        <f t="shared" ca="1" si="96"/>
        <v>24570827.44464545</v>
      </c>
      <c r="V317" s="373">
        <f t="shared" ca="1" si="96"/>
        <v>27957905.254738655</v>
      </c>
      <c r="W317" s="373" t="e">
        <f t="shared" si="96"/>
        <v>#N/A</v>
      </c>
      <c r="X317" s="373" t="e">
        <f t="shared" si="96"/>
        <v>#N/A</v>
      </c>
      <c r="Y317" s="373" t="e">
        <f t="shared" si="96"/>
        <v>#N/A</v>
      </c>
      <c r="Z317" s="373" t="e">
        <f t="shared" si="96"/>
        <v>#N/A</v>
      </c>
      <c r="AA317" s="373" t="e">
        <f t="shared" si="96"/>
        <v>#N/A</v>
      </c>
      <c r="AB317" s="373" t="e">
        <f t="shared" si="96"/>
        <v>#N/A</v>
      </c>
      <c r="AC317" s="373" t="e">
        <f t="shared" si="96"/>
        <v>#N/A</v>
      </c>
      <c r="AD317" s="373" t="e">
        <f t="shared" si="96"/>
        <v>#N/A</v>
      </c>
      <c r="AE317" s="373" t="e">
        <f t="shared" si="96"/>
        <v>#N/A</v>
      </c>
      <c r="AF317" s="373" t="e">
        <f t="shared" si="96"/>
        <v>#N/A</v>
      </c>
      <c r="AG317" s="230" t="e">
        <f t="shared" si="96"/>
        <v>#N/A</v>
      </c>
      <c r="AH317" s="230" t="e">
        <f t="shared" si="96"/>
        <v>#N/A</v>
      </c>
      <c r="AI317" s="230" t="e">
        <f t="shared" si="96"/>
        <v>#N/A</v>
      </c>
      <c r="AJ317" s="230" t="e">
        <f t="shared" si="96"/>
        <v>#N/A</v>
      </c>
      <c r="AK317" s="230" t="e">
        <f t="shared" si="96"/>
        <v>#N/A</v>
      </c>
    </row>
    <row r="318" spans="1:37" s="227" customFormat="1" ht="14.25" customHeight="1" x14ac:dyDescent="0.3">
      <c r="B318" s="233"/>
      <c r="C318" s="229" t="s">
        <v>269</v>
      </c>
      <c r="D318" s="230">
        <f t="shared" ref="D318:AK318" si="97">IF(D17&gt;ev_periode_jaar,NA(),D169)</f>
        <v>0</v>
      </c>
      <c r="E318" s="230">
        <f t="shared" si="97"/>
        <v>0</v>
      </c>
      <c r="F318" s="230">
        <f t="shared" si="97"/>
        <v>-8294767.7999999998</v>
      </c>
      <c r="G318" s="373">
        <f t="shared" si="97"/>
        <v>0</v>
      </c>
      <c r="H318" s="373">
        <f t="shared" ca="1" si="97"/>
        <v>1488920.6469571181</v>
      </c>
      <c r="I318" s="373">
        <f t="shared" ca="1" si="97"/>
        <v>1455920.8058035949</v>
      </c>
      <c r="J318" s="373">
        <f t="shared" ca="1" si="97"/>
        <v>1423874.3656505137</v>
      </c>
      <c r="K318" s="373">
        <f t="shared" ca="1" si="97"/>
        <v>1840287.5728244211</v>
      </c>
      <c r="L318" s="373">
        <f t="shared" ca="1" si="97"/>
        <v>1915912.5795028065</v>
      </c>
      <c r="M318" s="373">
        <f t="shared" ca="1" si="97"/>
        <v>1985822.9388986621</v>
      </c>
      <c r="N318" s="373">
        <f t="shared" ca="1" si="97"/>
        <v>2049011.7202494873</v>
      </c>
      <c r="O318" s="373">
        <f t="shared" ca="1" si="97"/>
        <v>2107083.490333295</v>
      </c>
      <c r="P318" s="373">
        <f t="shared" ca="1" si="97"/>
        <v>2160280.8609390333</v>
      </c>
      <c r="Q318" s="373">
        <f t="shared" ca="1" si="97"/>
        <v>2208836.6531759305</v>
      </c>
      <c r="R318" s="374">
        <f t="shared" ca="1" si="97"/>
        <v>2107783.6158952187</v>
      </c>
      <c r="S318" s="374">
        <f t="shared" ca="1" si="97"/>
        <v>2160748.8120590923</v>
      </c>
      <c r="T318" s="374">
        <f t="shared" ca="1" si="97"/>
        <v>2209077.3058627215</v>
      </c>
      <c r="U318" s="374">
        <f t="shared" ca="1" si="97"/>
        <v>2252992.4861587351</v>
      </c>
      <c r="V318" s="374">
        <f t="shared" ca="1" si="97"/>
        <v>2292708.6635832866</v>
      </c>
      <c r="W318" s="374" t="e">
        <f t="shared" si="97"/>
        <v>#N/A</v>
      </c>
      <c r="X318" s="374" t="e">
        <f t="shared" si="97"/>
        <v>#N/A</v>
      </c>
      <c r="Y318" s="374" t="e">
        <f t="shared" si="97"/>
        <v>#N/A</v>
      </c>
      <c r="Z318" s="374" t="e">
        <f t="shared" si="97"/>
        <v>#N/A</v>
      </c>
      <c r="AA318" s="374" t="e">
        <f t="shared" si="97"/>
        <v>#N/A</v>
      </c>
      <c r="AB318" s="374" t="e">
        <f t="shared" si="97"/>
        <v>#N/A</v>
      </c>
      <c r="AC318" s="374" t="e">
        <f t="shared" si="97"/>
        <v>#N/A</v>
      </c>
      <c r="AD318" s="374" t="e">
        <f t="shared" si="97"/>
        <v>#N/A</v>
      </c>
      <c r="AE318" s="374" t="e">
        <f t="shared" si="97"/>
        <v>#N/A</v>
      </c>
      <c r="AF318" s="374" t="e">
        <f t="shared" si="97"/>
        <v>#N/A</v>
      </c>
      <c r="AG318" s="231" t="e">
        <f t="shared" si="97"/>
        <v>#N/A</v>
      </c>
      <c r="AH318" s="231" t="e">
        <f t="shared" si="97"/>
        <v>#N/A</v>
      </c>
      <c r="AI318" s="231" t="e">
        <f t="shared" si="97"/>
        <v>#N/A</v>
      </c>
      <c r="AJ318" s="231" t="e">
        <f t="shared" si="97"/>
        <v>#N/A</v>
      </c>
      <c r="AK318" s="231" t="e">
        <f t="shared" si="97"/>
        <v>#N/A</v>
      </c>
    </row>
    <row r="319" spans="1:37" s="227" customFormat="1" ht="14.25" customHeight="1" x14ac:dyDescent="0.3">
      <c r="B319" s="233"/>
      <c r="C319" s="229" t="s">
        <v>76</v>
      </c>
      <c r="D319" s="230">
        <f>D315</f>
        <v>0</v>
      </c>
      <c r="E319" s="230">
        <f t="shared" ref="E319:AK320" si="98">E315</f>
        <v>0</v>
      </c>
      <c r="F319" s="230">
        <f t="shared" si="98"/>
        <v>-8294767.7999999998</v>
      </c>
      <c r="G319" s="373">
        <f t="shared" si="98"/>
        <v>-8294767.7999999998</v>
      </c>
      <c r="H319" s="373">
        <f t="shared" ca="1" si="98"/>
        <v>-7348511.2059780089</v>
      </c>
      <c r="I319" s="373">
        <f t="shared" ca="1" si="98"/>
        <v>-6415649.306756285</v>
      </c>
      <c r="J319" s="373">
        <f t="shared" ca="1" si="98"/>
        <v>-5503174.7345195776</v>
      </c>
      <c r="K319" s="373">
        <f t="shared" ca="1" si="98"/>
        <v>-4354734.5660980921</v>
      </c>
      <c r="L319" s="373">
        <f t="shared" ca="1" si="98"/>
        <v>-3046764.169434906</v>
      </c>
      <c r="M319" s="373">
        <f t="shared" ca="1" si="98"/>
        <v>-1589366.4327383351</v>
      </c>
      <c r="N319" s="373">
        <f t="shared" ca="1" si="98"/>
        <v>-51948.440852375701</v>
      </c>
      <c r="O319" s="373">
        <f t="shared" ca="1" si="98"/>
        <v>1559772.1029900096</v>
      </c>
      <c r="P319" s="373">
        <f t="shared" ca="1" si="98"/>
        <v>3240341.5222703246</v>
      </c>
      <c r="Q319" s="373">
        <f t="shared" ca="1" si="98"/>
        <v>4984559.6309148241</v>
      </c>
      <c r="R319" s="373">
        <f t="shared" ca="1" si="98"/>
        <v>6642278.9408107828</v>
      </c>
      <c r="S319" s="373">
        <f t="shared" ca="1" si="98"/>
        <v>8366998.2802098412</v>
      </c>
      <c r="T319" s="373">
        <f t="shared" ca="1" si="98"/>
        <v>10153580.12295212</v>
      </c>
      <c r="U319" s="373">
        <f t="shared" ca="1" si="98"/>
        <v>11997128.264022177</v>
      </c>
      <c r="V319" s="373">
        <f t="shared" ca="1" si="98"/>
        <v>13892978.114371937</v>
      </c>
      <c r="W319" s="373" t="e">
        <f t="shared" si="98"/>
        <v>#N/A</v>
      </c>
      <c r="X319" s="373" t="e">
        <f t="shared" si="98"/>
        <v>#N/A</v>
      </c>
      <c r="Y319" s="373" t="e">
        <f t="shared" si="98"/>
        <v>#N/A</v>
      </c>
      <c r="Z319" s="373" t="e">
        <f t="shared" si="98"/>
        <v>#N/A</v>
      </c>
      <c r="AA319" s="373" t="e">
        <f t="shared" si="98"/>
        <v>#N/A</v>
      </c>
      <c r="AB319" s="373" t="e">
        <f t="shared" si="98"/>
        <v>#N/A</v>
      </c>
      <c r="AC319" s="373" t="e">
        <f t="shared" si="98"/>
        <v>#N/A</v>
      </c>
      <c r="AD319" s="373" t="e">
        <f t="shared" si="98"/>
        <v>#N/A</v>
      </c>
      <c r="AE319" s="373" t="e">
        <f t="shared" si="98"/>
        <v>#N/A</v>
      </c>
      <c r="AF319" s="373" t="e">
        <f t="shared" si="98"/>
        <v>#N/A</v>
      </c>
      <c r="AG319" s="230" t="e">
        <f t="shared" si="98"/>
        <v>#N/A</v>
      </c>
      <c r="AH319" s="230" t="e">
        <f t="shared" si="98"/>
        <v>#N/A</v>
      </c>
      <c r="AI319" s="230" t="e">
        <f t="shared" si="98"/>
        <v>#N/A</v>
      </c>
      <c r="AJ319" s="230" t="e">
        <f t="shared" si="98"/>
        <v>#N/A</v>
      </c>
      <c r="AK319" s="230" t="e">
        <f t="shared" si="98"/>
        <v>#N/A</v>
      </c>
    </row>
    <row r="320" spans="1:37" s="227" customFormat="1" ht="14.25" customHeight="1" x14ac:dyDescent="0.3">
      <c r="B320" s="233"/>
      <c r="C320" s="229" t="s">
        <v>77</v>
      </c>
      <c r="D320" s="230">
        <f>D316</f>
        <v>0</v>
      </c>
      <c r="E320" s="230">
        <f t="shared" si="98"/>
        <v>0</v>
      </c>
      <c r="F320" s="230">
        <f t="shared" si="98"/>
        <v>-8294767.7999999998</v>
      </c>
      <c r="G320" s="373">
        <f t="shared" si="98"/>
        <v>-8294767.7999999998</v>
      </c>
      <c r="H320" s="373">
        <f t="shared" ca="1" si="98"/>
        <v>-6733638.7225487977</v>
      </c>
      <c r="I320" s="373">
        <f t="shared" ca="1" si="98"/>
        <v>-5209872.0402498376</v>
      </c>
      <c r="J320" s="373">
        <f t="shared" ca="1" si="98"/>
        <v>-3722331.8859103853</v>
      </c>
      <c r="K320" s="373">
        <f t="shared" ca="1" si="98"/>
        <v>-1822382.9809628283</v>
      </c>
      <c r="L320" s="373">
        <f t="shared" ca="1" si="98"/>
        <v>506215.62454453902</v>
      </c>
      <c r="M320" s="373">
        <f t="shared" ca="1" si="98"/>
        <v>3237023.099039231</v>
      </c>
      <c r="N320" s="373">
        <f t="shared" ca="1" si="98"/>
        <v>6357313.6784610115</v>
      </c>
      <c r="O320" s="373">
        <f t="shared" ca="1" si="98"/>
        <v>9842222.0021470673</v>
      </c>
      <c r="P320" s="373">
        <f t="shared" ca="1" si="98"/>
        <v>13668001.896760136</v>
      </c>
      <c r="Q320" s="373">
        <f t="shared" ca="1" si="98"/>
        <v>17811982.190360606</v>
      </c>
      <c r="R320" s="373">
        <f t="shared" ca="1" si="98"/>
        <v>22107333.507375166</v>
      </c>
      <c r="S320" s="373">
        <f t="shared" ca="1" si="98"/>
        <v>26677985.341685288</v>
      </c>
      <c r="T320" s="373">
        <f t="shared" ca="1" si="98"/>
        <v>31504402.702242445</v>
      </c>
      <c r="U320" s="373">
        <f t="shared" ca="1" si="98"/>
        <v>36567955.708667628</v>
      </c>
      <c r="V320" s="373">
        <f t="shared" ca="1" si="98"/>
        <v>41850883.369110592</v>
      </c>
      <c r="W320" s="373" t="e">
        <f t="shared" si="98"/>
        <v>#N/A</v>
      </c>
      <c r="X320" s="373" t="e">
        <f t="shared" si="98"/>
        <v>#N/A</v>
      </c>
      <c r="Y320" s="373" t="e">
        <f t="shared" si="98"/>
        <v>#N/A</v>
      </c>
      <c r="Z320" s="373" t="e">
        <f t="shared" si="98"/>
        <v>#N/A</v>
      </c>
      <c r="AA320" s="373" t="e">
        <f t="shared" si="98"/>
        <v>#N/A</v>
      </c>
      <c r="AB320" s="373" t="e">
        <f t="shared" si="98"/>
        <v>#N/A</v>
      </c>
      <c r="AC320" s="373" t="e">
        <f t="shared" si="98"/>
        <v>#N/A</v>
      </c>
      <c r="AD320" s="373" t="e">
        <f t="shared" si="98"/>
        <v>#N/A</v>
      </c>
      <c r="AE320" s="373" t="e">
        <f t="shared" si="98"/>
        <v>#N/A</v>
      </c>
      <c r="AF320" s="373" t="e">
        <f t="shared" si="98"/>
        <v>#N/A</v>
      </c>
      <c r="AG320" s="230" t="e">
        <f t="shared" si="98"/>
        <v>#N/A</v>
      </c>
      <c r="AH320" s="230" t="e">
        <f t="shared" si="98"/>
        <v>#N/A</v>
      </c>
      <c r="AI320" s="230" t="e">
        <f t="shared" si="98"/>
        <v>#N/A</v>
      </c>
      <c r="AJ320" s="230" t="e">
        <f t="shared" si="98"/>
        <v>#N/A</v>
      </c>
      <c r="AK320" s="230" t="e">
        <f t="shared" si="98"/>
        <v>#N/A</v>
      </c>
    </row>
    <row r="321" spans="2:32" s="227" customFormat="1" ht="14.25" customHeight="1" x14ac:dyDescent="0.3">
      <c r="B321" s="233"/>
      <c r="G321" s="69"/>
      <c r="H321" s="69"/>
      <c r="I321" s="69"/>
      <c r="J321" s="69"/>
      <c r="K321" s="69"/>
      <c r="L321" s="69"/>
      <c r="M321" s="69"/>
      <c r="N321" s="69"/>
      <c r="O321" s="69"/>
      <c r="P321" s="69"/>
      <c r="Q321" s="69"/>
      <c r="R321" s="69"/>
      <c r="S321" s="69"/>
      <c r="T321" s="69"/>
      <c r="U321" s="69"/>
      <c r="V321" s="69"/>
      <c r="W321" s="69"/>
      <c r="X321" s="69"/>
      <c r="Y321" s="69"/>
      <c r="Z321" s="69"/>
      <c r="AA321" s="69"/>
      <c r="AB321" s="69"/>
      <c r="AC321" s="69"/>
      <c r="AD321" s="69"/>
      <c r="AE321" s="69"/>
      <c r="AF321" s="69"/>
    </row>
    <row r="322" spans="2:32" s="227" customFormat="1" ht="14.25" customHeight="1" x14ac:dyDescent="0.3">
      <c r="B322" s="233"/>
      <c r="G322" s="69"/>
      <c r="H322" s="69"/>
      <c r="I322" s="69"/>
      <c r="J322" s="69"/>
      <c r="K322" s="69"/>
      <c r="L322" s="69"/>
      <c r="M322" s="69"/>
      <c r="N322" s="69"/>
      <c r="O322" s="69"/>
      <c r="P322" s="69"/>
      <c r="Q322" s="69"/>
      <c r="R322" s="69"/>
      <c r="S322" s="69"/>
      <c r="T322" s="69"/>
      <c r="U322" s="69"/>
      <c r="V322" s="69"/>
      <c r="W322" s="69"/>
      <c r="X322" s="69"/>
      <c r="Y322" s="69"/>
      <c r="Z322" s="69"/>
      <c r="AA322" s="69"/>
      <c r="AB322" s="69"/>
      <c r="AC322" s="69"/>
      <c r="AD322" s="69"/>
      <c r="AE322" s="69"/>
      <c r="AF322" s="69"/>
    </row>
    <row r="323" spans="2:32" s="227" customFormat="1" ht="14.25" customHeight="1" x14ac:dyDescent="0.3">
      <c r="B323" s="233"/>
      <c r="G323" s="69"/>
      <c r="H323" s="69"/>
      <c r="I323" s="69"/>
      <c r="J323" s="69"/>
      <c r="K323" s="69"/>
      <c r="L323" s="69"/>
      <c r="M323" s="69"/>
      <c r="N323" s="69"/>
      <c r="O323" s="69"/>
      <c r="P323" s="69"/>
      <c r="Q323" s="69"/>
      <c r="R323" s="69"/>
      <c r="S323" s="69"/>
      <c r="T323" s="69"/>
      <c r="U323" s="69"/>
      <c r="V323" s="69"/>
      <c r="W323" s="69"/>
      <c r="X323" s="69"/>
      <c r="Y323" s="69"/>
      <c r="Z323" s="69"/>
      <c r="AA323" s="69"/>
      <c r="AB323" s="69"/>
      <c r="AC323" s="69"/>
      <c r="AD323" s="69"/>
      <c r="AE323" s="69"/>
      <c r="AF323" s="69"/>
    </row>
    <row r="324" spans="2:32" s="227" customFormat="1" ht="14.25" customHeight="1" x14ac:dyDescent="0.3">
      <c r="B324" s="233"/>
      <c r="D324" s="230"/>
      <c r="G324" s="69"/>
      <c r="H324" s="69"/>
      <c r="I324" s="69"/>
      <c r="J324" s="69"/>
      <c r="K324" s="69"/>
      <c r="L324" s="69"/>
      <c r="M324" s="69"/>
      <c r="N324" s="69"/>
      <c r="O324" s="69"/>
      <c r="P324" s="69"/>
      <c r="Q324" s="69"/>
      <c r="R324" s="69"/>
      <c r="S324" s="69"/>
      <c r="T324" s="69"/>
      <c r="U324" s="69"/>
      <c r="V324" s="69"/>
      <c r="W324" s="69"/>
      <c r="X324" s="69"/>
      <c r="Y324" s="69"/>
      <c r="Z324" s="69"/>
      <c r="AA324" s="69"/>
      <c r="AB324" s="69"/>
      <c r="AC324" s="69"/>
      <c r="AD324" s="69"/>
      <c r="AE324" s="69"/>
      <c r="AF324" s="69"/>
    </row>
    <row r="325" spans="2:32" s="227" customFormat="1" ht="14.25" customHeight="1" x14ac:dyDescent="0.3">
      <c r="B325" s="233"/>
      <c r="G325" s="69"/>
      <c r="H325" s="69"/>
      <c r="I325" s="69"/>
      <c r="J325" s="69"/>
      <c r="K325" s="69"/>
      <c r="L325" s="69"/>
      <c r="M325" s="69"/>
      <c r="N325" s="69"/>
      <c r="O325" s="69"/>
      <c r="P325" s="69"/>
      <c r="Q325" s="69"/>
      <c r="R325" s="69"/>
      <c r="S325" s="69"/>
      <c r="T325" s="69"/>
      <c r="U325" s="69"/>
      <c r="V325" s="69"/>
      <c r="W325" s="69"/>
      <c r="X325" s="69"/>
      <c r="Y325" s="69"/>
      <c r="Z325" s="69"/>
      <c r="AA325" s="69"/>
      <c r="AB325" s="69"/>
      <c r="AC325" s="69"/>
      <c r="AD325" s="69"/>
      <c r="AE325" s="69"/>
      <c r="AF325" s="69"/>
    </row>
    <row r="326" spans="2:32" s="227" customFormat="1" ht="14.25" customHeight="1" x14ac:dyDescent="0.3">
      <c r="B326" s="233"/>
      <c r="G326" s="69"/>
      <c r="H326" s="69"/>
      <c r="I326" s="69"/>
      <c r="J326" s="69"/>
      <c r="K326" s="69"/>
      <c r="L326" s="69"/>
      <c r="M326" s="69"/>
      <c r="N326" s="69"/>
      <c r="O326" s="69"/>
      <c r="P326" s="69"/>
      <c r="Q326" s="69"/>
      <c r="R326" s="69"/>
      <c r="S326" s="69"/>
      <c r="T326" s="69"/>
      <c r="U326" s="69"/>
      <c r="V326" s="69"/>
      <c r="W326" s="69"/>
      <c r="X326" s="69"/>
      <c r="Y326" s="69"/>
      <c r="Z326" s="69"/>
      <c r="AA326" s="69"/>
      <c r="AB326" s="69"/>
      <c r="AC326" s="69"/>
      <c r="AD326" s="69"/>
      <c r="AE326" s="69"/>
      <c r="AF326" s="69"/>
    </row>
    <row r="327" spans="2:32" s="227" customFormat="1" ht="14.25" customHeight="1" x14ac:dyDescent="0.3">
      <c r="B327" s="233"/>
      <c r="G327" s="69"/>
      <c r="H327" s="69"/>
      <c r="I327" s="69"/>
      <c r="J327" s="69"/>
      <c r="K327" s="69"/>
      <c r="L327" s="69"/>
      <c r="M327" s="69"/>
      <c r="N327" s="69"/>
      <c r="O327" s="69"/>
      <c r="P327" s="69"/>
      <c r="Q327" s="69"/>
      <c r="R327" s="69"/>
      <c r="S327" s="69"/>
      <c r="T327" s="69"/>
      <c r="U327" s="69"/>
      <c r="V327" s="69"/>
      <c r="W327" s="69"/>
      <c r="X327" s="69"/>
      <c r="Y327" s="69"/>
      <c r="Z327" s="69"/>
      <c r="AA327" s="69"/>
      <c r="AB327" s="69"/>
      <c r="AC327" s="69"/>
      <c r="AD327" s="69"/>
      <c r="AE327" s="69"/>
      <c r="AF327" s="69"/>
    </row>
    <row r="328" spans="2:32" s="227" customFormat="1" ht="14.25" customHeight="1" x14ac:dyDescent="0.3">
      <c r="B328" s="233"/>
      <c r="G328" s="69"/>
      <c r="H328" s="69"/>
      <c r="I328" s="69"/>
      <c r="J328" s="69"/>
      <c r="K328" s="69"/>
      <c r="L328" s="69"/>
      <c r="M328" s="69"/>
      <c r="N328" s="69"/>
      <c r="O328" s="69"/>
      <c r="P328" s="69"/>
      <c r="Q328" s="69"/>
      <c r="R328" s="69"/>
      <c r="S328" s="69"/>
      <c r="T328" s="373"/>
      <c r="U328" s="69"/>
      <c r="V328" s="69"/>
      <c r="W328" s="69"/>
      <c r="X328" s="69"/>
      <c r="Y328" s="69"/>
      <c r="Z328" s="69"/>
      <c r="AA328" s="69"/>
      <c r="AB328" s="69"/>
      <c r="AC328" s="69"/>
      <c r="AD328" s="69"/>
      <c r="AE328" s="373"/>
      <c r="AF328" s="69"/>
    </row>
    <row r="329" spans="2:32" s="227" customFormat="1" ht="14.25" customHeight="1" x14ac:dyDescent="0.3">
      <c r="B329" s="233"/>
      <c r="G329" s="69"/>
      <c r="H329" s="69"/>
      <c r="I329" s="69"/>
      <c r="J329" s="69"/>
      <c r="K329" s="69"/>
      <c r="L329" s="69"/>
      <c r="M329" s="69"/>
      <c r="N329" s="69"/>
      <c r="O329" s="69"/>
      <c r="P329" s="69"/>
      <c r="Q329" s="69"/>
      <c r="R329" s="69"/>
      <c r="S329" s="69"/>
      <c r="T329" s="69"/>
      <c r="U329" s="69"/>
      <c r="V329" s="69"/>
      <c r="W329" s="69"/>
      <c r="X329" s="69"/>
      <c r="Y329" s="69"/>
      <c r="Z329" s="69"/>
      <c r="AA329" s="69"/>
      <c r="AB329" s="69"/>
      <c r="AC329" s="69"/>
      <c r="AD329" s="69"/>
      <c r="AE329" s="69"/>
      <c r="AF329" s="69"/>
    </row>
    <row r="330" spans="2:32" s="227" customFormat="1" ht="14.25" customHeight="1" x14ac:dyDescent="0.3">
      <c r="B330" s="233"/>
      <c r="G330" s="69"/>
      <c r="H330" s="69"/>
      <c r="I330" s="69"/>
      <c r="J330" s="69"/>
      <c r="K330" s="69"/>
      <c r="L330" s="69"/>
      <c r="M330" s="69"/>
      <c r="N330" s="69"/>
      <c r="O330" s="69"/>
      <c r="P330" s="69"/>
      <c r="Q330" s="69"/>
      <c r="R330" s="69"/>
      <c r="S330" s="69"/>
      <c r="T330" s="69"/>
      <c r="U330" s="69"/>
      <c r="V330" s="69"/>
      <c r="W330" s="69"/>
      <c r="X330" s="69"/>
      <c r="Y330" s="69"/>
      <c r="Z330" s="69"/>
      <c r="AA330" s="69"/>
      <c r="AB330" s="69"/>
      <c r="AC330" s="69"/>
      <c r="AD330" s="69"/>
      <c r="AE330" s="69"/>
      <c r="AF330" s="69"/>
    </row>
    <row r="331" spans="2:32" s="227" customFormat="1" ht="14.25" customHeight="1" x14ac:dyDescent="0.3">
      <c r="B331" s="233"/>
      <c r="G331" s="69"/>
      <c r="H331" s="69"/>
      <c r="I331" s="69"/>
      <c r="J331" s="69"/>
      <c r="K331" s="69"/>
      <c r="L331" s="69"/>
      <c r="M331" s="69"/>
      <c r="N331" s="69"/>
      <c r="O331" s="69"/>
      <c r="P331" s="69"/>
      <c r="Q331" s="69"/>
      <c r="R331" s="69"/>
      <c r="S331" s="69"/>
      <c r="T331" s="69"/>
      <c r="U331" s="69"/>
      <c r="V331" s="69"/>
      <c r="W331" s="69"/>
      <c r="X331" s="69"/>
      <c r="Y331" s="69"/>
      <c r="Z331" s="69"/>
      <c r="AA331" s="69"/>
      <c r="AB331" s="69"/>
      <c r="AC331" s="69"/>
      <c r="AD331" s="69"/>
      <c r="AE331" s="69"/>
      <c r="AF331" s="69"/>
    </row>
    <row r="332" spans="2:32" s="227" customFormat="1" ht="14.25" customHeight="1" x14ac:dyDescent="0.3">
      <c r="B332" s="233"/>
      <c r="G332" s="69"/>
      <c r="H332" s="69"/>
      <c r="I332" s="69"/>
      <c r="J332" s="69"/>
      <c r="K332" s="69"/>
      <c r="L332" s="69"/>
      <c r="M332" s="69"/>
      <c r="N332" s="69"/>
      <c r="O332" s="69"/>
      <c r="P332" s="69"/>
      <c r="Q332" s="69"/>
      <c r="R332" s="69"/>
      <c r="S332" s="69"/>
      <c r="T332" s="69"/>
      <c r="U332" s="69"/>
      <c r="V332" s="69"/>
      <c r="W332" s="69"/>
      <c r="X332" s="69"/>
      <c r="Y332" s="69"/>
      <c r="Z332" s="69"/>
      <c r="AA332" s="69"/>
      <c r="AB332" s="69"/>
      <c r="AC332" s="69"/>
      <c r="AD332" s="69"/>
      <c r="AE332" s="69"/>
      <c r="AF332" s="69"/>
    </row>
    <row r="333" spans="2:32" s="227" customFormat="1" ht="14.25" customHeight="1" x14ac:dyDescent="0.3">
      <c r="B333" s="233"/>
      <c r="G333" s="69"/>
      <c r="H333" s="69"/>
      <c r="I333" s="69"/>
      <c r="J333" s="69"/>
      <c r="K333" s="69"/>
      <c r="L333" s="69"/>
      <c r="M333" s="69"/>
      <c r="N333" s="69"/>
      <c r="O333" s="69"/>
      <c r="P333" s="69"/>
      <c r="Q333" s="69"/>
      <c r="R333" s="69"/>
      <c r="S333" s="69"/>
      <c r="T333" s="69"/>
      <c r="U333" s="69"/>
      <c r="V333" s="69"/>
      <c r="W333" s="69"/>
      <c r="X333" s="69"/>
      <c r="Y333" s="69"/>
      <c r="Z333" s="69"/>
      <c r="AA333" s="69"/>
      <c r="AB333" s="69"/>
      <c r="AC333" s="69"/>
      <c r="AD333" s="69"/>
      <c r="AE333" s="69"/>
      <c r="AF333" s="69"/>
    </row>
    <row r="334" spans="2:32" s="227" customFormat="1" ht="14.25" customHeight="1" x14ac:dyDescent="0.3">
      <c r="B334" s="233"/>
      <c r="G334" s="69"/>
      <c r="H334" s="69"/>
      <c r="I334" s="69"/>
      <c r="J334" s="69"/>
      <c r="K334" s="69"/>
      <c r="L334" s="69"/>
      <c r="M334" s="69"/>
      <c r="N334" s="69"/>
      <c r="O334" s="69"/>
      <c r="P334" s="69"/>
      <c r="Q334" s="69"/>
      <c r="R334" s="69"/>
      <c r="S334" s="69"/>
      <c r="T334" s="69"/>
      <c r="U334" s="69"/>
      <c r="V334" s="69"/>
      <c r="W334" s="69"/>
      <c r="X334" s="69"/>
      <c r="Y334" s="69"/>
      <c r="Z334" s="69"/>
      <c r="AA334" s="69"/>
      <c r="AB334" s="69"/>
      <c r="AC334" s="69"/>
      <c r="AD334" s="69"/>
      <c r="AE334" s="69"/>
      <c r="AF334" s="69"/>
    </row>
    <row r="335" spans="2:32" s="227" customFormat="1" ht="14.25" customHeight="1" x14ac:dyDescent="0.3">
      <c r="B335" s="233"/>
      <c r="G335" s="69"/>
      <c r="H335" s="69"/>
      <c r="I335" s="69"/>
      <c r="J335" s="69"/>
      <c r="K335" s="69"/>
      <c r="L335" s="69"/>
      <c r="M335" s="69"/>
      <c r="N335" s="69"/>
      <c r="O335" s="69"/>
      <c r="P335" s="69"/>
      <c r="Q335" s="69"/>
      <c r="R335" s="69"/>
      <c r="S335" s="69"/>
      <c r="T335" s="69"/>
      <c r="U335" s="69"/>
      <c r="V335" s="69"/>
      <c r="W335" s="69"/>
      <c r="X335" s="69"/>
      <c r="Y335" s="69"/>
      <c r="Z335" s="69"/>
      <c r="AA335" s="69"/>
      <c r="AB335" s="69"/>
      <c r="AC335" s="69"/>
      <c r="AD335" s="69"/>
      <c r="AE335" s="69"/>
      <c r="AF335" s="69"/>
    </row>
    <row r="336" spans="2:32" s="227" customFormat="1" ht="14.25" customHeight="1" x14ac:dyDescent="0.3">
      <c r="B336" s="233"/>
      <c r="G336" s="69"/>
      <c r="H336" s="69"/>
      <c r="I336" s="69"/>
      <c r="J336" s="69"/>
      <c r="K336" s="69"/>
      <c r="L336" s="69"/>
      <c r="M336" s="69"/>
      <c r="N336" s="69"/>
      <c r="O336" s="69"/>
      <c r="P336" s="69"/>
      <c r="Q336" s="69"/>
      <c r="R336" s="69"/>
      <c r="S336" s="69"/>
      <c r="T336" s="69"/>
      <c r="U336" s="69"/>
      <c r="V336" s="69"/>
      <c r="W336" s="69"/>
      <c r="X336" s="69"/>
      <c r="Y336" s="69"/>
      <c r="Z336" s="69"/>
      <c r="AA336" s="69"/>
      <c r="AB336" s="69"/>
      <c r="AC336" s="69"/>
      <c r="AD336" s="69"/>
      <c r="AE336" s="69"/>
      <c r="AF336" s="69"/>
    </row>
    <row r="337" spans="2:32" s="227" customFormat="1" ht="14.25" customHeight="1" x14ac:dyDescent="0.3">
      <c r="B337" s="233"/>
      <c r="G337" s="69"/>
      <c r="H337" s="69"/>
      <c r="I337" s="69"/>
      <c r="J337" s="69"/>
      <c r="K337" s="69"/>
      <c r="L337" s="69"/>
      <c r="M337" s="69"/>
      <c r="N337" s="69"/>
      <c r="O337" s="69"/>
      <c r="P337" s="69"/>
      <c r="Q337" s="69"/>
      <c r="R337" s="69"/>
      <c r="S337" s="69"/>
      <c r="T337" s="69"/>
      <c r="U337" s="69"/>
      <c r="V337" s="69"/>
      <c r="W337" s="69"/>
      <c r="X337" s="69"/>
      <c r="Y337" s="69"/>
      <c r="Z337" s="69"/>
      <c r="AA337" s="69"/>
      <c r="AB337" s="69"/>
      <c r="AC337" s="69"/>
      <c r="AD337" s="69"/>
      <c r="AE337" s="69"/>
      <c r="AF337" s="69"/>
    </row>
    <row r="338" spans="2:32" s="227" customFormat="1" ht="14.25" customHeight="1" x14ac:dyDescent="0.3">
      <c r="B338" s="233"/>
      <c r="G338" s="69"/>
      <c r="H338" s="69"/>
      <c r="I338" s="69"/>
      <c r="J338" s="69"/>
      <c r="K338" s="69"/>
      <c r="L338" s="69"/>
      <c r="M338" s="69"/>
      <c r="N338" s="69"/>
      <c r="O338" s="69"/>
      <c r="P338" s="69"/>
      <c r="Q338" s="69"/>
      <c r="R338" s="69"/>
      <c r="S338" s="69"/>
      <c r="T338" s="69"/>
      <c r="U338" s="69"/>
      <c r="V338" s="69"/>
      <c r="W338" s="69"/>
      <c r="X338" s="69"/>
      <c r="Y338" s="69"/>
      <c r="Z338" s="69"/>
      <c r="AA338" s="69"/>
      <c r="AB338" s="69"/>
      <c r="AC338" s="69"/>
      <c r="AD338" s="69"/>
      <c r="AE338" s="69"/>
      <c r="AF338" s="69"/>
    </row>
    <row r="339" spans="2:32" s="227" customFormat="1" ht="14.25" customHeight="1" x14ac:dyDescent="0.3">
      <c r="B339" s="233"/>
      <c r="G339" s="69"/>
      <c r="H339" s="69"/>
      <c r="I339" s="69"/>
      <c r="J339" s="69"/>
      <c r="K339" s="69"/>
      <c r="L339" s="69"/>
      <c r="M339" s="69"/>
      <c r="N339" s="69"/>
      <c r="O339" s="69"/>
      <c r="P339" s="69"/>
      <c r="Q339" s="69"/>
      <c r="R339" s="69"/>
      <c r="S339" s="69"/>
      <c r="T339" s="69"/>
      <c r="U339" s="69"/>
      <c r="V339" s="69"/>
      <c r="W339" s="69"/>
      <c r="X339" s="69"/>
      <c r="Y339" s="69"/>
      <c r="Z339" s="69"/>
      <c r="AA339" s="69"/>
      <c r="AB339" s="69"/>
      <c r="AC339" s="69"/>
      <c r="AD339" s="69"/>
      <c r="AE339" s="69"/>
      <c r="AF339" s="69"/>
    </row>
    <row r="340" spans="2:32" s="227" customFormat="1" ht="14.25" customHeight="1" x14ac:dyDescent="0.3">
      <c r="B340" s="233"/>
      <c r="G340" s="69"/>
      <c r="H340" s="69"/>
      <c r="I340" s="69"/>
      <c r="J340" s="69"/>
      <c r="K340" s="69"/>
      <c r="L340" s="69"/>
      <c r="M340" s="69"/>
      <c r="N340" s="69"/>
      <c r="O340" s="69"/>
      <c r="P340" s="69"/>
      <c r="Q340" s="69"/>
      <c r="R340" s="69"/>
      <c r="S340" s="69"/>
      <c r="T340" s="69"/>
      <c r="U340" s="69"/>
      <c r="V340" s="69"/>
      <c r="W340" s="69"/>
      <c r="X340" s="69"/>
      <c r="Y340" s="69"/>
      <c r="Z340" s="69"/>
      <c r="AA340" s="69"/>
      <c r="AB340" s="69"/>
      <c r="AC340" s="69"/>
      <c r="AD340" s="69"/>
      <c r="AE340" s="69"/>
      <c r="AF340" s="69"/>
    </row>
    <row r="341" spans="2:32" s="227" customFormat="1" ht="14.25" customHeight="1" x14ac:dyDescent="0.3">
      <c r="B341" s="233"/>
      <c r="G341" s="69"/>
      <c r="H341" s="69"/>
      <c r="I341" s="69"/>
      <c r="J341" s="69"/>
      <c r="K341" s="69"/>
      <c r="L341" s="69"/>
      <c r="M341" s="69"/>
      <c r="N341" s="69"/>
      <c r="O341" s="69"/>
      <c r="P341" s="69"/>
      <c r="Q341" s="69"/>
      <c r="R341" s="69"/>
      <c r="S341" s="69"/>
      <c r="T341" s="69"/>
      <c r="U341" s="69"/>
      <c r="V341" s="69"/>
      <c r="W341" s="69"/>
      <c r="X341" s="69"/>
      <c r="Y341" s="69"/>
      <c r="Z341" s="69"/>
      <c r="AA341" s="69"/>
      <c r="AB341" s="69"/>
      <c r="AC341" s="69"/>
      <c r="AD341" s="69"/>
      <c r="AE341" s="69"/>
      <c r="AF341" s="69"/>
    </row>
    <row r="342" spans="2:32" s="227" customFormat="1" ht="14.25" customHeight="1" x14ac:dyDescent="0.3">
      <c r="B342" s="233"/>
      <c r="G342" s="69"/>
      <c r="H342" s="69"/>
      <c r="I342" s="69"/>
      <c r="J342" s="69"/>
      <c r="K342" s="69"/>
      <c r="L342" s="69"/>
      <c r="M342" s="69"/>
      <c r="N342" s="69"/>
      <c r="O342" s="69"/>
      <c r="P342" s="69"/>
      <c r="Q342" s="69"/>
      <c r="R342" s="69"/>
      <c r="S342" s="69"/>
      <c r="T342" s="69"/>
      <c r="U342" s="69"/>
      <c r="V342" s="69"/>
      <c r="W342" s="69"/>
      <c r="X342" s="69"/>
      <c r="Y342" s="69"/>
      <c r="Z342" s="69"/>
      <c r="AA342" s="69"/>
      <c r="AB342" s="69"/>
      <c r="AC342" s="69"/>
      <c r="AD342" s="69"/>
      <c r="AE342" s="69"/>
      <c r="AF342" s="69"/>
    </row>
    <row r="343" spans="2:32" s="227" customFormat="1" ht="14.25" customHeight="1" x14ac:dyDescent="0.3">
      <c r="B343" s="233"/>
      <c r="G343" s="69"/>
      <c r="H343" s="69"/>
      <c r="I343" s="69"/>
      <c r="J343" s="69"/>
      <c r="K343" s="69"/>
      <c r="L343" s="69"/>
      <c r="M343" s="69"/>
      <c r="N343" s="69"/>
      <c r="O343" s="69"/>
      <c r="P343" s="69"/>
      <c r="Q343" s="69"/>
      <c r="R343" s="69"/>
      <c r="S343" s="69"/>
      <c r="T343" s="69"/>
      <c r="U343" s="69"/>
      <c r="V343" s="69"/>
      <c r="W343" s="69"/>
      <c r="X343" s="69"/>
      <c r="Y343" s="69"/>
      <c r="Z343" s="69"/>
      <c r="AA343" s="69"/>
      <c r="AB343" s="69"/>
      <c r="AC343" s="69"/>
      <c r="AD343" s="69"/>
      <c r="AE343" s="69"/>
      <c r="AF343" s="69"/>
    </row>
    <row r="344" spans="2:32" s="227" customFormat="1" ht="14.25" customHeight="1" x14ac:dyDescent="0.3">
      <c r="B344" s="233"/>
      <c r="G344" s="69"/>
      <c r="H344" s="69"/>
      <c r="I344" s="69"/>
      <c r="J344" s="69"/>
      <c r="K344" s="69"/>
      <c r="L344" s="69"/>
      <c r="M344" s="69"/>
      <c r="N344" s="69"/>
      <c r="O344" s="69"/>
      <c r="P344" s="69"/>
      <c r="Q344" s="69"/>
      <c r="R344" s="69"/>
      <c r="S344" s="69"/>
      <c r="T344" s="69"/>
      <c r="U344" s="69"/>
      <c r="V344" s="69"/>
      <c r="W344" s="69"/>
      <c r="X344" s="69"/>
      <c r="Y344" s="69"/>
      <c r="Z344" s="69"/>
      <c r="AA344" s="69"/>
      <c r="AB344" s="69"/>
      <c r="AC344" s="69"/>
      <c r="AD344" s="69"/>
      <c r="AE344" s="69"/>
      <c r="AF344" s="69"/>
    </row>
    <row r="345" spans="2:32" s="227" customFormat="1" ht="14.25" customHeight="1" x14ac:dyDescent="0.3">
      <c r="B345" s="233"/>
      <c r="G345" s="69"/>
      <c r="H345" s="69"/>
      <c r="I345" s="69"/>
      <c r="J345" s="69"/>
      <c r="K345" s="69"/>
      <c r="L345" s="69"/>
      <c r="M345" s="69"/>
      <c r="N345" s="69"/>
      <c r="O345" s="69"/>
      <c r="P345" s="69"/>
      <c r="Q345" s="69"/>
      <c r="R345" s="69"/>
      <c r="S345" s="69"/>
      <c r="T345" s="69"/>
      <c r="U345" s="69"/>
      <c r="V345" s="69"/>
      <c r="W345" s="69"/>
      <c r="X345" s="69"/>
      <c r="Y345" s="69"/>
      <c r="Z345" s="69"/>
      <c r="AA345" s="69"/>
      <c r="AB345" s="69"/>
      <c r="AC345" s="69"/>
      <c r="AD345" s="69"/>
      <c r="AE345" s="69"/>
      <c r="AF345" s="69"/>
    </row>
    <row r="346" spans="2:32" s="227" customFormat="1" ht="14.25" customHeight="1" x14ac:dyDescent="0.3">
      <c r="B346" s="233"/>
      <c r="G346" s="69"/>
      <c r="H346" s="69"/>
      <c r="I346" s="69"/>
      <c r="J346" s="69"/>
      <c r="K346" s="69"/>
      <c r="L346" s="69"/>
      <c r="M346" s="69"/>
      <c r="N346" s="69"/>
      <c r="O346" s="69"/>
      <c r="P346" s="69"/>
      <c r="Q346" s="69"/>
      <c r="R346" s="69"/>
      <c r="S346" s="69"/>
      <c r="T346" s="69"/>
      <c r="U346" s="69"/>
      <c r="V346" s="69"/>
      <c r="W346" s="69"/>
      <c r="X346" s="69"/>
      <c r="Y346" s="69"/>
      <c r="Z346" s="69"/>
      <c r="AA346" s="69"/>
      <c r="AB346" s="69"/>
      <c r="AC346" s="69"/>
      <c r="AD346" s="69"/>
      <c r="AE346" s="69"/>
      <c r="AF346" s="69"/>
    </row>
    <row r="347" spans="2:32" s="227" customFormat="1" ht="14.25" customHeight="1" x14ac:dyDescent="0.3">
      <c r="B347" s="233"/>
      <c r="G347" s="69"/>
      <c r="H347" s="69"/>
      <c r="I347" s="69"/>
      <c r="J347" s="69"/>
      <c r="K347" s="69"/>
      <c r="L347" s="69"/>
      <c r="M347" s="69"/>
      <c r="N347" s="69"/>
      <c r="O347" s="69"/>
      <c r="P347" s="69"/>
      <c r="Q347" s="69"/>
      <c r="R347" s="69"/>
      <c r="S347" s="69"/>
      <c r="T347" s="69"/>
      <c r="U347" s="69"/>
      <c r="V347" s="69"/>
      <c r="W347" s="69"/>
      <c r="X347" s="69"/>
      <c r="Y347" s="69"/>
      <c r="Z347" s="69"/>
      <c r="AA347" s="69"/>
      <c r="AB347" s="69"/>
      <c r="AC347" s="69"/>
      <c r="AD347" s="69"/>
      <c r="AE347" s="69"/>
      <c r="AF347" s="69"/>
    </row>
    <row r="348" spans="2:32" s="227" customFormat="1" ht="14.25" customHeight="1" x14ac:dyDescent="0.3">
      <c r="B348" s="233"/>
      <c r="G348" s="69"/>
      <c r="H348" s="69"/>
      <c r="I348" s="69"/>
      <c r="J348" s="69"/>
      <c r="K348" s="69"/>
      <c r="L348" s="69"/>
      <c r="M348" s="69"/>
      <c r="N348" s="69"/>
      <c r="O348" s="69"/>
      <c r="P348" s="69"/>
      <c r="Q348" s="69"/>
      <c r="R348" s="69"/>
      <c r="S348" s="69"/>
      <c r="T348" s="69"/>
      <c r="U348" s="69"/>
      <c r="V348" s="69"/>
      <c r="W348" s="69"/>
      <c r="X348" s="69"/>
      <c r="Y348" s="69"/>
      <c r="Z348" s="69"/>
      <c r="AA348" s="69"/>
      <c r="AB348" s="69"/>
      <c r="AC348" s="69"/>
      <c r="AD348" s="69"/>
      <c r="AE348" s="69"/>
      <c r="AF348" s="69"/>
    </row>
    <row r="349" spans="2:32" s="227" customFormat="1" ht="14.25" customHeight="1" x14ac:dyDescent="0.3">
      <c r="B349" s="233"/>
      <c r="G349" s="69"/>
      <c r="H349" s="69"/>
      <c r="I349" s="69"/>
      <c r="J349" s="69"/>
      <c r="K349" s="69"/>
      <c r="L349" s="69"/>
      <c r="M349" s="69"/>
      <c r="N349" s="69"/>
      <c r="O349" s="69"/>
      <c r="P349" s="69"/>
      <c r="Q349" s="69"/>
      <c r="R349" s="69"/>
      <c r="S349" s="69"/>
      <c r="T349" s="69"/>
      <c r="U349" s="69"/>
      <c r="V349" s="69"/>
      <c r="W349" s="69"/>
      <c r="X349" s="69"/>
      <c r="Y349" s="69"/>
      <c r="Z349" s="69"/>
      <c r="AA349" s="69"/>
      <c r="AB349" s="69"/>
      <c r="AC349" s="69"/>
      <c r="AD349" s="69"/>
      <c r="AE349" s="69"/>
      <c r="AF349" s="69"/>
    </row>
    <row r="350" spans="2:32" s="227" customFormat="1" ht="14.25" customHeight="1" x14ac:dyDescent="0.3">
      <c r="B350" s="233"/>
      <c r="G350" s="69"/>
      <c r="H350" s="69"/>
      <c r="I350" s="69"/>
      <c r="J350" s="69"/>
      <c r="K350" s="69"/>
      <c r="L350" s="69"/>
      <c r="M350" s="69"/>
      <c r="N350" s="69"/>
      <c r="O350" s="69"/>
      <c r="P350" s="69"/>
      <c r="Q350" s="69"/>
      <c r="R350" s="69"/>
      <c r="S350" s="69"/>
      <c r="T350" s="69"/>
      <c r="U350" s="69"/>
      <c r="V350" s="69"/>
      <c r="W350" s="69"/>
      <c r="X350" s="69"/>
      <c r="Y350" s="69"/>
      <c r="Z350" s="69"/>
      <c r="AA350" s="69"/>
      <c r="AB350" s="69"/>
      <c r="AC350" s="69"/>
      <c r="AD350" s="69"/>
      <c r="AE350" s="69"/>
      <c r="AF350" s="69"/>
    </row>
    <row r="351" spans="2:32" s="227" customFormat="1" ht="14.25" customHeight="1" x14ac:dyDescent="0.3">
      <c r="B351" s="233"/>
      <c r="G351" s="69"/>
      <c r="H351" s="69"/>
      <c r="I351" s="69"/>
      <c r="J351" s="69"/>
      <c r="K351" s="69"/>
      <c r="L351" s="69"/>
      <c r="M351" s="69"/>
      <c r="N351" s="69"/>
      <c r="O351" s="69"/>
      <c r="P351" s="69"/>
      <c r="Q351" s="69"/>
      <c r="R351" s="69"/>
      <c r="S351" s="69"/>
      <c r="T351" s="69"/>
      <c r="U351" s="69"/>
      <c r="V351" s="69"/>
      <c r="W351" s="69"/>
      <c r="X351" s="69"/>
      <c r="Y351" s="69"/>
      <c r="Z351" s="69"/>
      <c r="AA351" s="69"/>
      <c r="AB351" s="69"/>
      <c r="AC351" s="69"/>
      <c r="AD351" s="69"/>
      <c r="AE351" s="69"/>
      <c r="AF351" s="69"/>
    </row>
    <row r="352" spans="2:32" s="227" customFormat="1" ht="14.25" customHeight="1" x14ac:dyDescent="0.3">
      <c r="B352" s="233"/>
      <c r="G352" s="69"/>
      <c r="H352" s="69"/>
      <c r="I352" s="69"/>
      <c r="J352" s="69"/>
      <c r="K352" s="69"/>
      <c r="L352" s="69"/>
      <c r="M352" s="69"/>
      <c r="N352" s="69"/>
      <c r="O352" s="69"/>
      <c r="P352" s="69"/>
      <c r="Q352" s="69"/>
      <c r="R352" s="69"/>
      <c r="S352" s="69"/>
      <c r="T352" s="69"/>
      <c r="U352" s="69"/>
      <c r="V352" s="69"/>
      <c r="W352" s="69"/>
      <c r="X352" s="69"/>
      <c r="Y352" s="69"/>
      <c r="Z352" s="69"/>
      <c r="AA352" s="69"/>
      <c r="AB352" s="69"/>
      <c r="AC352" s="69"/>
      <c r="AD352" s="69"/>
      <c r="AE352" s="69"/>
      <c r="AF352" s="69"/>
    </row>
    <row r="353" spans="2:32" s="227" customFormat="1" ht="14.25" customHeight="1" x14ac:dyDescent="0.3">
      <c r="B353" s="233"/>
      <c r="G353" s="69"/>
      <c r="H353" s="69"/>
      <c r="I353" s="69"/>
      <c r="J353" s="69"/>
      <c r="K353" s="69"/>
      <c r="L353" s="69"/>
      <c r="M353" s="69"/>
      <c r="N353" s="69"/>
      <c r="O353" s="69"/>
      <c r="P353" s="69"/>
      <c r="Q353" s="69"/>
      <c r="R353" s="69"/>
      <c r="S353" s="69"/>
      <c r="T353" s="69"/>
      <c r="U353" s="69"/>
      <c r="V353" s="69"/>
      <c r="W353" s="69"/>
      <c r="X353" s="69"/>
      <c r="Y353" s="69"/>
      <c r="Z353" s="69"/>
      <c r="AA353" s="69"/>
      <c r="AB353" s="69"/>
      <c r="AC353" s="69"/>
      <c r="AD353" s="69"/>
      <c r="AE353" s="69"/>
      <c r="AF353" s="69"/>
    </row>
    <row r="354" spans="2:32" s="227" customFormat="1" ht="14.25" customHeight="1" x14ac:dyDescent="0.3">
      <c r="B354" s="233"/>
      <c r="G354" s="69"/>
      <c r="H354" s="69"/>
      <c r="I354" s="69"/>
      <c r="J354" s="69"/>
      <c r="K354" s="69"/>
      <c r="L354" s="69"/>
      <c r="M354" s="69"/>
      <c r="N354" s="69"/>
      <c r="O354" s="69"/>
      <c r="P354" s="69"/>
      <c r="Q354" s="69"/>
      <c r="R354" s="69"/>
      <c r="S354" s="69"/>
      <c r="T354" s="69"/>
      <c r="U354" s="69"/>
      <c r="V354" s="69"/>
      <c r="W354" s="69"/>
      <c r="X354" s="69"/>
      <c r="Y354" s="69"/>
      <c r="Z354" s="69"/>
      <c r="AA354" s="69"/>
      <c r="AB354" s="69"/>
      <c r="AC354" s="69"/>
      <c r="AD354" s="69"/>
      <c r="AE354" s="69"/>
      <c r="AF354" s="69"/>
    </row>
    <row r="355" spans="2:32" s="227" customFormat="1" ht="14.25" customHeight="1" x14ac:dyDescent="0.3">
      <c r="B355" s="233"/>
      <c r="G355" s="69"/>
      <c r="H355" s="69"/>
      <c r="I355" s="69"/>
      <c r="J355" s="69"/>
      <c r="K355" s="69"/>
      <c r="L355" s="69"/>
      <c r="M355" s="69"/>
      <c r="N355" s="69"/>
      <c r="O355" s="69"/>
      <c r="P355" s="69"/>
      <c r="Q355" s="69"/>
      <c r="R355" s="69"/>
      <c r="S355" s="69"/>
      <c r="T355" s="69"/>
      <c r="U355" s="69"/>
      <c r="V355" s="69"/>
      <c r="W355" s="69"/>
      <c r="X355" s="69"/>
      <c r="Y355" s="69"/>
      <c r="Z355" s="69"/>
      <c r="AA355" s="69"/>
      <c r="AB355" s="69"/>
      <c r="AC355" s="69"/>
      <c r="AD355" s="69"/>
      <c r="AE355" s="69"/>
      <c r="AF355" s="69"/>
    </row>
    <row r="356" spans="2:32" s="227" customFormat="1" ht="14.25" customHeight="1" x14ac:dyDescent="0.3">
      <c r="B356" s="233"/>
    </row>
    <row r="357" spans="2:32" s="227" customFormat="1" ht="14.25" customHeight="1" x14ac:dyDescent="0.3">
      <c r="B357" s="233"/>
    </row>
  </sheetData>
  <mergeCells count="4">
    <mergeCell ref="A14:AK14"/>
    <mergeCell ref="H16:Q16"/>
    <mergeCell ref="A141:AK141"/>
    <mergeCell ref="A204:AK204"/>
  </mergeCells>
  <conditionalFormatting sqref="B28:B30">
    <cfRule type="expression" dxfId="20" priority="4" stopIfTrue="1">
      <formula>$B$9&lt;&gt;"1a"</formula>
    </cfRule>
  </conditionalFormatting>
  <conditionalFormatting sqref="B236:B237 E236:E237 C268:O290 C294:O295">
    <cfRule type="cellIs" dxfId="19" priority="50" operator="lessThan">
      <formula>0</formula>
    </cfRule>
  </conditionalFormatting>
  <conditionalFormatting sqref="H25:AK31">
    <cfRule type="expression" dxfId="18" priority="54">
      <formula>H25=#REF!</formula>
    </cfRule>
  </conditionalFormatting>
  <conditionalFormatting sqref="R17:AK23 R256:AJ256">
    <cfRule type="expression" dxfId="16" priority="18" stopIfTrue="1">
      <formula>R$17&gt;ev_periode_jaar</formula>
    </cfRule>
  </conditionalFormatting>
  <conditionalFormatting sqref="R25:AK43 R153:R155 R217:R218 R249:R250">
    <cfRule type="expression" dxfId="15" priority="39" stopIfTrue="1">
      <formula>R$17&gt;ev_periode_jaar</formula>
    </cfRule>
  </conditionalFormatting>
  <conditionalFormatting sqref="R61:AK64 S153:AK155 S217:AK218 W219:AK219 S249:AK250 W251:AK251 R255:AJ255">
    <cfRule type="expression" dxfId="14" priority="15">
      <formula>R$17&gt;ev_periode_jaar</formula>
    </cfRule>
  </conditionalFormatting>
  <conditionalFormatting sqref="R64:AK66 R70:AK70 R73:AK81 R125:V125 X125:AK125 R126:AK135 R156:AK158 R160:AJ160 R161:AK174 R220:AK222 R252:AK254">
    <cfRule type="expression" dxfId="13" priority="16" stopIfTrue="1">
      <formula>R$17&gt;ev_periode_jaar</formula>
    </cfRule>
  </conditionalFormatting>
  <conditionalFormatting sqref="R67:AK72 W125 R159:AJ159 R223:AJ223">
    <cfRule type="expression" dxfId="12" priority="21">
      <formula>R$17&gt;ev_periode_jaar</formula>
    </cfRule>
  </conditionalFormatting>
  <conditionalFormatting sqref="R83:AK124 R224:AJ224">
    <cfRule type="expression" dxfId="11" priority="24" stopIfTrue="1">
      <formula>R$17&gt;ev_periode_jaar</formula>
    </cfRule>
  </conditionalFormatting>
  <conditionalFormatting sqref="R143:AK152">
    <cfRule type="expression" dxfId="10" priority="41" stopIfTrue="1">
      <formula>R$17&gt;ev_periode_jaar</formula>
    </cfRule>
  </conditionalFormatting>
  <conditionalFormatting sqref="R207:AK216">
    <cfRule type="expression" dxfId="9" priority="20" stopIfTrue="1">
      <formula>R$17&gt;ev_periode_jaar</formula>
    </cfRule>
  </conditionalFormatting>
  <conditionalFormatting sqref="R225:AK235">
    <cfRule type="expression" dxfId="8" priority="19" stopIfTrue="1">
      <formula>R$17&gt;ev_periode_jaar</formula>
    </cfRule>
  </conditionalFormatting>
  <conditionalFormatting sqref="R239:AK248">
    <cfRule type="expression" dxfId="7" priority="14" stopIfTrue="1">
      <formula>R$17&gt;ev_periode_jaar</formula>
    </cfRule>
  </conditionalFormatting>
  <conditionalFormatting sqref="R257:AK267">
    <cfRule type="expression" dxfId="6" priority="13" stopIfTrue="1">
      <formula>R$17&gt;ev_periode_jaar</formula>
    </cfRule>
  </conditionalFormatting>
  <conditionalFormatting sqref="W44:AK44 R45:AK50 W51:AK51 R52:AK60">
    <cfRule type="expression" dxfId="5" priority="22" stopIfTrue="1">
      <formula>R$17&gt;ev_periode_jaar</formula>
    </cfRule>
  </conditionalFormatting>
  <conditionalFormatting sqref="W82:AK82">
    <cfRule type="expression" dxfId="4" priority="3">
      <formula>W$17&gt;ev_periode_jaar</formula>
    </cfRule>
  </conditionalFormatting>
  <conditionalFormatting sqref="AK159:AK160">
    <cfRule type="expression" dxfId="3" priority="44">
      <formula>AK$17&gt;ev_periode_jaar</formula>
    </cfRule>
  </conditionalFormatting>
  <conditionalFormatting sqref="AK223:AK224">
    <cfRule type="expression" dxfId="2" priority="23">
      <formula>AK$17&gt;ev_periode_jaar</formula>
    </cfRule>
  </conditionalFormatting>
  <conditionalFormatting sqref="AK255:AK256">
    <cfRule type="expression" dxfId="1" priority="17">
      <formula>AK$17&gt;ev_periode_jaar</formula>
    </cfRule>
  </conditionalFormatting>
  <conditionalFormatting sqref="AL159">
    <cfRule type="expression" dxfId="0" priority="45">
      <formula>AL$17&gt;ev_periode_jaar</formula>
    </cfRule>
  </conditionalFormatting>
  <dataValidations count="3">
    <dataValidation showInputMessage="1" showErrorMessage="1" sqref="B10" xr:uid="{FF4D8083-C2F2-4460-9553-DE4440D7957E}"/>
    <dataValidation allowBlank="1" showErrorMessage="1" sqref="B9" xr:uid="{F9A0C418-258A-46E1-A347-D96ACBB6240E}"/>
    <dataValidation errorStyle="warning" allowBlank="1" showInputMessage="1" showErrorMessage="1" sqref="B21" xr:uid="{EF54609A-5295-4BB7-998B-4406C257BEFB}"/>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55" id="{EFD2AA26-57A7-4C41-ACDD-30E8901B5D7E}">
            <xm:f>H101=Achtergrondparameters!#REF!</xm:f>
            <x14:dxf>
              <font>
                <b val="0"/>
                <i/>
                <strike val="0"/>
              </font>
              <fill>
                <patternFill patternType="lightUp">
                  <fgColor theme="0" tint="-0.34998626667073579"/>
                </patternFill>
              </fill>
              <border>
                <left/>
                <right/>
                <top/>
                <bottom/>
                <vertical/>
                <horizontal/>
              </border>
            </x14:dxf>
          </x14:cfRule>
          <xm:sqref>H101:AK101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94C560C4-88F2-45C2-8364-A686C3F8D64E}">
          <x14:formula1>
            <xm:f>IF(B17&gt;ev_periode_jaar,0,'Dropdown lists'!$B$3:$B$5)</xm:f>
          </x14:formula1>
          <xm:sqref>H36 B36</xm:sqref>
        </x14:dataValidation>
        <x14:dataValidation type="list" allowBlank="1" showInputMessage="1" showErrorMessage="1" xr:uid="{8D6F21DC-09C6-4446-9734-48CE4B6E00CF}">
          <x14:formula1>
            <xm:f>'Dropdown lists'!$B$3:$B$5</xm:f>
          </x14:formula1>
          <xm:sqref>I36:AK36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C5793-D0F9-4766-90D2-AACEF29CAEA8}">
  <sheetPr>
    <tabColor theme="0" tint="-0.499984740745262"/>
  </sheetPr>
  <dimension ref="A2:O10"/>
  <sheetViews>
    <sheetView workbookViewId="0">
      <selection activeCell="C14" sqref="C14"/>
    </sheetView>
  </sheetViews>
  <sheetFormatPr defaultColWidth="8.6640625" defaultRowHeight="14.4" x14ac:dyDescent="0.3"/>
  <cols>
    <col min="1" max="1" width="34.6640625" style="60" customWidth="1"/>
    <col min="2" max="2" width="24.6640625" style="60" bestFit="1" customWidth="1"/>
    <col min="3" max="3" width="15.5546875" style="60" bestFit="1" customWidth="1"/>
    <col min="4" max="4" width="28.88671875" style="60" bestFit="1" customWidth="1"/>
    <col min="5" max="5" width="8.6640625" style="60"/>
    <col min="6" max="6" width="14.5546875" style="60" bestFit="1" customWidth="1"/>
    <col min="7" max="7" width="14.5546875" style="60" customWidth="1"/>
    <col min="8" max="8" width="18.109375" style="60" bestFit="1" customWidth="1"/>
    <col min="9" max="9" width="9" style="60" customWidth="1"/>
    <col min="10" max="10" width="23.5546875" style="60" bestFit="1" customWidth="1"/>
    <col min="11" max="12" width="8.6640625" style="60"/>
    <col min="13" max="13" width="17.88671875" style="60" bestFit="1" customWidth="1"/>
    <col min="14" max="16384" width="8.6640625" style="60"/>
  </cols>
  <sheetData>
    <row r="2" spans="1:15" x14ac:dyDescent="0.3">
      <c r="A2" s="59" t="s">
        <v>33</v>
      </c>
      <c r="B2" s="59" t="s">
        <v>281</v>
      </c>
      <c r="C2" s="59" t="s">
        <v>282</v>
      </c>
      <c r="D2" s="59" t="s">
        <v>283</v>
      </c>
      <c r="F2" s="59" t="s">
        <v>284</v>
      </c>
      <c r="G2" s="59"/>
      <c r="H2" s="59" t="s">
        <v>177</v>
      </c>
      <c r="J2" s="59"/>
      <c r="L2" s="59" t="s">
        <v>285</v>
      </c>
      <c r="O2" s="59"/>
    </row>
    <row r="3" spans="1:15" x14ac:dyDescent="0.3">
      <c r="A3" s="61" t="s">
        <v>286</v>
      </c>
      <c r="B3" s="60" t="s">
        <v>287</v>
      </c>
      <c r="C3" s="60">
        <v>10</v>
      </c>
      <c r="D3" s="60">
        <v>20</v>
      </c>
      <c r="F3" s="60" t="s">
        <v>288</v>
      </c>
      <c r="H3" s="60" t="s">
        <v>289</v>
      </c>
      <c r="J3" s="263" t="str" cm="1">
        <f t="array" ref="J3">_xlfn._xlws.FILTER('Achtergrond verbruiksprofielen'!N4:P27,('Achtergrond verbruiksprofielen'!N4:N27=DASHBOARD!C26)*('Achtergrond verbruiksprofielen'!O4:O27=DASHBOARD!C27),"")</f>
        <v/>
      </c>
      <c r="K3" s="263"/>
    </row>
    <row r="4" spans="1:15" x14ac:dyDescent="0.3">
      <c r="A4" s="62" t="s">
        <v>34</v>
      </c>
      <c r="B4" s="60" t="s">
        <v>315</v>
      </c>
      <c r="C4" s="60">
        <v>15</v>
      </c>
      <c r="D4" s="60">
        <v>40</v>
      </c>
      <c r="F4" s="60" t="s">
        <v>37</v>
      </c>
      <c r="H4" s="60" t="s">
        <v>40</v>
      </c>
      <c r="J4" s="263"/>
      <c r="K4" s="263"/>
    </row>
    <row r="5" spans="1:15" x14ac:dyDescent="0.3">
      <c r="A5" s="62" t="s">
        <v>290</v>
      </c>
      <c r="B5" s="60" t="s">
        <v>316</v>
      </c>
      <c r="C5" s="60">
        <v>20</v>
      </c>
      <c r="D5" s="60">
        <v>60</v>
      </c>
      <c r="H5" s="60" t="s">
        <v>291</v>
      </c>
      <c r="J5" s="263"/>
      <c r="K5" s="263"/>
    </row>
    <row r="6" spans="1:15" x14ac:dyDescent="0.3">
      <c r="A6" s="62"/>
      <c r="C6" s="60">
        <v>25</v>
      </c>
      <c r="D6" s="60">
        <v>80</v>
      </c>
      <c r="H6" s="60" t="s">
        <v>292</v>
      </c>
      <c r="J6" s="263"/>
      <c r="K6" s="263"/>
    </row>
    <row r="7" spans="1:15" x14ac:dyDescent="0.3">
      <c r="C7" s="60">
        <v>30</v>
      </c>
      <c r="H7" s="60" t="s">
        <v>293</v>
      </c>
      <c r="J7" s="263"/>
      <c r="K7" s="263"/>
    </row>
    <row r="8" spans="1:15" x14ac:dyDescent="0.3">
      <c r="A8" s="62"/>
      <c r="H8" s="60" t="s">
        <v>294</v>
      </c>
      <c r="J8" s="263"/>
      <c r="K8" s="263"/>
    </row>
    <row r="9" spans="1:15" x14ac:dyDescent="0.3">
      <c r="A9" s="62"/>
      <c r="H9" s="358" t="s">
        <v>295</v>
      </c>
      <c r="J9" s="263"/>
      <c r="K9" s="263"/>
    </row>
    <row r="10" spans="1:15" x14ac:dyDescent="0.3">
      <c r="H10" s="266" t="s">
        <v>296</v>
      </c>
      <c r="J10" s="263"/>
      <c r="K10" s="263"/>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30DBA-1B03-4CD8-9E36-99BDA01C98A8}">
  <sheetPr>
    <tabColor theme="0" tint="-0.499984740745262"/>
  </sheetPr>
  <dimension ref="A1:P134"/>
  <sheetViews>
    <sheetView topLeftCell="A55" zoomScale="70" zoomScaleNormal="70" workbookViewId="0">
      <selection activeCell="D79" sqref="D79"/>
    </sheetView>
  </sheetViews>
  <sheetFormatPr defaultColWidth="9.109375" defaultRowHeight="14.4" x14ac:dyDescent="0.3"/>
  <cols>
    <col min="1" max="1" width="28.6640625" style="60" bestFit="1" customWidth="1"/>
    <col min="2" max="2" width="13.33203125" style="60" customWidth="1"/>
    <col min="3" max="3" width="13.33203125" style="60" bestFit="1" customWidth="1"/>
    <col min="4" max="5" width="14.33203125" style="60" bestFit="1" customWidth="1"/>
    <col min="6" max="7" width="13.6640625" style="60" bestFit="1" customWidth="1"/>
    <col min="8" max="8" width="14.33203125" style="60" bestFit="1" customWidth="1"/>
    <col min="9" max="13" width="9.109375" style="60"/>
    <col min="14" max="14" width="23.88671875" style="60" customWidth="1"/>
    <col min="15" max="15" width="14.109375" style="60" bestFit="1" customWidth="1"/>
    <col min="16" max="16" width="16.33203125" style="60" bestFit="1" customWidth="1"/>
    <col min="17" max="16384" width="9.109375" style="60"/>
  </cols>
  <sheetData>
    <row r="1" spans="1:16" ht="21" x14ac:dyDescent="0.4">
      <c r="A1" s="221" t="s">
        <v>297</v>
      </c>
      <c r="N1" s="262" t="s">
        <v>298</v>
      </c>
    </row>
    <row r="2" spans="1:16" ht="21" x14ac:dyDescent="0.4">
      <c r="A2" s="221"/>
      <c r="N2" s="262"/>
    </row>
    <row r="3" spans="1:16" x14ac:dyDescent="0.3">
      <c r="A3" s="323" t="s">
        <v>299</v>
      </c>
      <c r="B3" s="324"/>
      <c r="C3" s="324"/>
      <c r="D3" s="324"/>
      <c r="E3" s="324"/>
      <c r="F3" s="324"/>
      <c r="G3" s="324"/>
      <c r="H3" s="324"/>
      <c r="N3" s="323" t="s">
        <v>33</v>
      </c>
      <c r="O3" s="323" t="s">
        <v>36</v>
      </c>
      <c r="P3" s="323" t="s">
        <v>39</v>
      </c>
    </row>
    <row r="4" spans="1:16" x14ac:dyDescent="0.3">
      <c r="B4" s="60" t="s">
        <v>300</v>
      </c>
      <c r="N4" s="60" t="s">
        <v>286</v>
      </c>
      <c r="O4" s="60" t="s">
        <v>288</v>
      </c>
      <c r="P4" s="60" t="s">
        <v>294</v>
      </c>
    </row>
    <row r="5" spans="1:16" x14ac:dyDescent="0.3">
      <c r="A5" s="60" t="s">
        <v>174</v>
      </c>
      <c r="B5" s="60" t="s">
        <v>301</v>
      </c>
      <c r="C5" s="60">
        <v>32</v>
      </c>
      <c r="N5" s="60" t="s">
        <v>286</v>
      </c>
      <c r="O5" s="60" t="s">
        <v>37</v>
      </c>
      <c r="P5" s="60" t="s">
        <v>294</v>
      </c>
    </row>
    <row r="6" spans="1:16" x14ac:dyDescent="0.3">
      <c r="B6" s="60" t="s">
        <v>115</v>
      </c>
      <c r="C6" s="60">
        <f>C5/1000</f>
        <v>3.2000000000000001E-2</v>
      </c>
      <c r="N6" s="62" t="s">
        <v>34</v>
      </c>
      <c r="O6" s="60" t="s">
        <v>37</v>
      </c>
      <c r="P6" s="60" t="s">
        <v>289</v>
      </c>
    </row>
    <row r="7" spans="1:16" x14ac:dyDescent="0.3">
      <c r="N7" s="62" t="s">
        <v>302</v>
      </c>
      <c r="O7" s="60" t="s">
        <v>37</v>
      </c>
      <c r="P7" s="60" t="s">
        <v>289</v>
      </c>
    </row>
    <row r="8" spans="1:16" x14ac:dyDescent="0.3">
      <c r="C8" s="60">
        <v>2028</v>
      </c>
      <c r="D8" s="60">
        <v>2040</v>
      </c>
      <c r="N8" s="62" t="s">
        <v>34</v>
      </c>
      <c r="O8" s="60" t="s">
        <v>37</v>
      </c>
      <c r="P8" s="60" t="s">
        <v>40</v>
      </c>
    </row>
    <row r="9" spans="1:16" x14ac:dyDescent="0.3">
      <c r="A9" s="60" t="s">
        <v>178</v>
      </c>
      <c r="B9" s="60" t="s">
        <v>85</v>
      </c>
      <c r="C9" s="60">
        <v>70</v>
      </c>
      <c r="D9" s="60">
        <v>300</v>
      </c>
      <c r="N9" s="62" t="s">
        <v>302</v>
      </c>
      <c r="O9" s="60" t="s">
        <v>37</v>
      </c>
      <c r="P9" s="60" t="s">
        <v>40</v>
      </c>
    </row>
    <row r="10" spans="1:16" x14ac:dyDescent="0.3">
      <c r="B10" s="60" t="s">
        <v>115</v>
      </c>
      <c r="C10" s="363">
        <f>C9/5/1000</f>
        <v>1.4E-2</v>
      </c>
      <c r="D10" s="363">
        <f>D9/5/1000</f>
        <v>0.06</v>
      </c>
      <c r="N10" s="62" t="s">
        <v>34</v>
      </c>
      <c r="O10" s="60" t="s">
        <v>37</v>
      </c>
      <c r="P10" s="60" t="s">
        <v>291</v>
      </c>
    </row>
    <row r="11" spans="1:16" x14ac:dyDescent="0.3">
      <c r="N11" s="62" t="s">
        <v>302</v>
      </c>
      <c r="O11" s="60" t="s">
        <v>37</v>
      </c>
      <c r="P11" s="60" t="s">
        <v>291</v>
      </c>
    </row>
    <row r="12" spans="1:16" x14ac:dyDescent="0.3">
      <c r="A12" s="59" t="s">
        <v>289</v>
      </c>
      <c r="C12" s="60" t="s">
        <v>303</v>
      </c>
      <c r="D12" s="60" t="s">
        <v>304</v>
      </c>
      <c r="E12" s="60" t="s">
        <v>305</v>
      </c>
      <c r="F12" s="60" t="s">
        <v>306</v>
      </c>
      <c r="G12" s="60" t="s">
        <v>307</v>
      </c>
      <c r="H12" s="60" t="s">
        <v>308</v>
      </c>
      <c r="N12" s="62" t="s">
        <v>34</v>
      </c>
      <c r="O12" s="60" t="s">
        <v>37</v>
      </c>
      <c r="P12" s="60" t="s">
        <v>292</v>
      </c>
    </row>
    <row r="13" spans="1:16" x14ac:dyDescent="0.3">
      <c r="A13" s="60" t="s">
        <v>86</v>
      </c>
      <c r="B13" s="60" t="s">
        <v>301</v>
      </c>
      <c r="C13" s="364">
        <v>100</v>
      </c>
      <c r="D13" s="364">
        <v>104.18116732297683</v>
      </c>
      <c r="E13" s="364">
        <v>109.66919441286588</v>
      </c>
      <c r="F13" s="364">
        <v>104.70469709857861</v>
      </c>
      <c r="G13" s="364">
        <v>85.116852605956012</v>
      </c>
      <c r="H13" s="364">
        <v>94.673097640290976</v>
      </c>
      <c r="N13" s="62" t="s">
        <v>302</v>
      </c>
      <c r="O13" s="60" t="s">
        <v>37</v>
      </c>
      <c r="P13" s="60" t="s">
        <v>292</v>
      </c>
    </row>
    <row r="14" spans="1:16" x14ac:dyDescent="0.3">
      <c r="B14" s="60" t="s">
        <v>115</v>
      </c>
      <c r="C14" s="363">
        <f t="shared" ref="C14:H14" si="0">C13/1000</f>
        <v>0.1</v>
      </c>
      <c r="D14" s="363">
        <f t="shared" si="0"/>
        <v>0.10418116732297683</v>
      </c>
      <c r="E14" s="363">
        <f t="shared" si="0"/>
        <v>0.10966919441286588</v>
      </c>
      <c r="F14" s="363">
        <f t="shared" si="0"/>
        <v>0.1047046970985786</v>
      </c>
      <c r="G14" s="363">
        <f t="shared" si="0"/>
        <v>8.5116852605956014E-2</v>
      </c>
      <c r="H14" s="363">
        <f t="shared" si="0"/>
        <v>9.4673097640290971E-2</v>
      </c>
      <c r="N14" s="62" t="s">
        <v>34</v>
      </c>
      <c r="O14" s="60" t="s">
        <v>37</v>
      </c>
      <c r="P14" s="60" t="s">
        <v>293</v>
      </c>
    </row>
    <row r="15" spans="1:16" x14ac:dyDescent="0.3">
      <c r="A15" s="358" t="s">
        <v>87</v>
      </c>
      <c r="B15" s="60" t="s">
        <v>88</v>
      </c>
      <c r="C15" s="368">
        <v>8000</v>
      </c>
      <c r="D15" s="368">
        <v>8000</v>
      </c>
      <c r="E15" s="368">
        <v>8000</v>
      </c>
      <c r="F15" s="368">
        <v>8000</v>
      </c>
      <c r="G15" s="368">
        <v>8000</v>
      </c>
      <c r="H15" s="368">
        <v>8000</v>
      </c>
      <c r="N15" s="62" t="s">
        <v>302</v>
      </c>
      <c r="O15" s="60" t="s">
        <v>37</v>
      </c>
      <c r="P15" s="60" t="s">
        <v>293</v>
      </c>
    </row>
    <row r="16" spans="1:16" x14ac:dyDescent="0.3">
      <c r="N16" s="62" t="s">
        <v>34</v>
      </c>
      <c r="O16" s="60" t="s">
        <v>37</v>
      </c>
      <c r="P16" s="60" t="s">
        <v>294</v>
      </c>
    </row>
    <row r="17" spans="1:16" x14ac:dyDescent="0.3">
      <c r="A17" s="59" t="s">
        <v>40</v>
      </c>
      <c r="C17" s="60" t="s">
        <v>303</v>
      </c>
      <c r="D17" s="60" t="s">
        <v>304</v>
      </c>
      <c r="E17" s="60" t="s">
        <v>305</v>
      </c>
      <c r="F17" s="60" t="s">
        <v>306</v>
      </c>
      <c r="G17" s="60" t="s">
        <v>307</v>
      </c>
      <c r="H17" s="60" t="s">
        <v>308</v>
      </c>
      <c r="N17" s="62" t="s">
        <v>302</v>
      </c>
      <c r="O17" s="60" t="s">
        <v>37</v>
      </c>
      <c r="P17" s="60" t="s">
        <v>294</v>
      </c>
    </row>
    <row r="18" spans="1:16" x14ac:dyDescent="0.3">
      <c r="A18" s="60" t="s">
        <v>86</v>
      </c>
      <c r="B18" s="60" t="s">
        <v>301</v>
      </c>
      <c r="C18" s="364">
        <v>101.76977123524402</v>
      </c>
      <c r="D18" s="364">
        <v>92.479850352495902</v>
      </c>
      <c r="E18" s="364">
        <v>91.559252182930109</v>
      </c>
      <c r="F18" s="364">
        <v>81.473680641587904</v>
      </c>
      <c r="G18" s="364">
        <v>72.101759936380532</v>
      </c>
      <c r="H18" s="364">
        <v>82.751913775491758</v>
      </c>
      <c r="N18" s="62" t="s">
        <v>34</v>
      </c>
      <c r="O18" s="60" t="s">
        <v>288</v>
      </c>
      <c r="P18" s="60" t="s">
        <v>291</v>
      </c>
    </row>
    <row r="19" spans="1:16" x14ac:dyDescent="0.3">
      <c r="B19" s="60" t="s">
        <v>115</v>
      </c>
      <c r="C19" s="363">
        <f t="shared" ref="C19:H19" si="1">C18/1000</f>
        <v>0.10176977123524403</v>
      </c>
      <c r="D19" s="363">
        <f t="shared" si="1"/>
        <v>9.2479850352495896E-2</v>
      </c>
      <c r="E19" s="363">
        <f t="shared" si="1"/>
        <v>9.1559252182930109E-2</v>
      </c>
      <c r="F19" s="363">
        <f t="shared" si="1"/>
        <v>8.1473680641587901E-2</v>
      </c>
      <c r="G19" s="363">
        <f t="shared" si="1"/>
        <v>7.210175993638053E-2</v>
      </c>
      <c r="H19" s="363">
        <f t="shared" si="1"/>
        <v>8.2751913775491764E-2</v>
      </c>
      <c r="N19" s="62" t="s">
        <v>302</v>
      </c>
      <c r="O19" s="60" t="s">
        <v>288</v>
      </c>
      <c r="P19" s="60" t="s">
        <v>291</v>
      </c>
    </row>
    <row r="20" spans="1:16" x14ac:dyDescent="0.3">
      <c r="A20" s="358" t="s">
        <v>87</v>
      </c>
      <c r="B20" s="60" t="s">
        <v>88</v>
      </c>
      <c r="C20" s="368">
        <v>3040</v>
      </c>
      <c r="D20" s="368">
        <v>3040</v>
      </c>
      <c r="E20" s="368">
        <v>3040</v>
      </c>
      <c r="F20" s="368">
        <v>3040</v>
      </c>
      <c r="G20" s="368">
        <v>3040</v>
      </c>
      <c r="H20" s="368">
        <v>3040</v>
      </c>
      <c r="N20" s="60" t="s">
        <v>286</v>
      </c>
      <c r="O20" s="60" t="s">
        <v>288</v>
      </c>
      <c r="P20" s="358" t="s">
        <v>295</v>
      </c>
    </row>
    <row r="21" spans="1:16" x14ac:dyDescent="0.3">
      <c r="N21" s="60" t="s">
        <v>286</v>
      </c>
      <c r="O21" s="60" t="s">
        <v>37</v>
      </c>
      <c r="P21" s="358" t="s">
        <v>295</v>
      </c>
    </row>
    <row r="22" spans="1:16" x14ac:dyDescent="0.3">
      <c r="A22" s="59" t="s">
        <v>291</v>
      </c>
      <c r="C22" s="60" t="s">
        <v>303</v>
      </c>
      <c r="D22" s="60" t="s">
        <v>304</v>
      </c>
      <c r="E22" s="60" t="s">
        <v>305</v>
      </c>
      <c r="F22" s="60" t="s">
        <v>306</v>
      </c>
      <c r="G22" s="60" t="s">
        <v>307</v>
      </c>
      <c r="H22" s="60" t="s">
        <v>308</v>
      </c>
      <c r="N22" s="62" t="s">
        <v>34</v>
      </c>
      <c r="O22" s="60" t="s">
        <v>288</v>
      </c>
      <c r="P22" s="358" t="s">
        <v>295</v>
      </c>
    </row>
    <row r="23" spans="1:16" x14ac:dyDescent="0.3">
      <c r="A23" s="60" t="s">
        <v>86</v>
      </c>
      <c r="B23" s="60" t="s">
        <v>301</v>
      </c>
      <c r="C23" s="364">
        <v>70.625206743480319</v>
      </c>
      <c r="D23" s="364">
        <v>93.536635388808193</v>
      </c>
      <c r="E23" s="364">
        <v>93.151737430882463</v>
      </c>
      <c r="F23" s="364">
        <v>82.110139531269041</v>
      </c>
      <c r="G23" s="364">
        <v>75.086282425636782</v>
      </c>
      <c r="H23" s="364">
        <v>83.962240206813235</v>
      </c>
      <c r="N23" s="62" t="s">
        <v>34</v>
      </c>
      <c r="O23" s="60" t="s">
        <v>37</v>
      </c>
      <c r="P23" s="358" t="s">
        <v>295</v>
      </c>
    </row>
    <row r="24" spans="1:16" x14ac:dyDescent="0.3">
      <c r="B24" s="60" t="s">
        <v>115</v>
      </c>
      <c r="C24" s="363">
        <f t="shared" ref="C24:H24" si="2">C23/1000</f>
        <v>7.0625206743480315E-2</v>
      </c>
      <c r="D24" s="363">
        <f t="shared" si="2"/>
        <v>9.3536635388808187E-2</v>
      </c>
      <c r="E24" s="363">
        <f t="shared" si="2"/>
        <v>9.3151737430882467E-2</v>
      </c>
      <c r="F24" s="363">
        <f t="shared" si="2"/>
        <v>8.2110139531269041E-2</v>
      </c>
      <c r="G24" s="363">
        <f t="shared" si="2"/>
        <v>7.508628242563678E-2</v>
      </c>
      <c r="H24" s="363">
        <f t="shared" si="2"/>
        <v>8.3962240206813241E-2</v>
      </c>
      <c r="N24" s="62" t="s">
        <v>302</v>
      </c>
      <c r="O24" s="60" t="s">
        <v>288</v>
      </c>
      <c r="P24" s="358" t="s">
        <v>295</v>
      </c>
    </row>
    <row r="25" spans="1:16" x14ac:dyDescent="0.3">
      <c r="A25" s="358" t="s">
        <v>87</v>
      </c>
      <c r="B25" s="60" t="s">
        <v>88</v>
      </c>
      <c r="C25" s="368">
        <v>1460</v>
      </c>
      <c r="D25" s="368">
        <v>1460</v>
      </c>
      <c r="E25" s="368">
        <v>1460</v>
      </c>
      <c r="F25" s="368">
        <v>1460</v>
      </c>
      <c r="G25" s="368">
        <v>1460</v>
      </c>
      <c r="H25" s="368">
        <v>1460</v>
      </c>
      <c r="N25" s="62" t="s">
        <v>302</v>
      </c>
      <c r="O25" s="60" t="s">
        <v>37</v>
      </c>
      <c r="P25" s="358" t="s">
        <v>295</v>
      </c>
    </row>
    <row r="26" spans="1:16" x14ac:dyDescent="0.3">
      <c r="N26" s="62" t="s">
        <v>34</v>
      </c>
      <c r="O26" s="60" t="s">
        <v>37</v>
      </c>
      <c r="P26" s="266" t="s">
        <v>296</v>
      </c>
    </row>
    <row r="27" spans="1:16" x14ac:dyDescent="0.3">
      <c r="A27" s="59" t="s">
        <v>309</v>
      </c>
      <c r="C27" s="60" t="s">
        <v>303</v>
      </c>
      <c r="D27" s="60" t="s">
        <v>304</v>
      </c>
      <c r="E27" s="60" t="s">
        <v>305</v>
      </c>
      <c r="F27" s="60" t="s">
        <v>306</v>
      </c>
      <c r="G27" s="60" t="s">
        <v>307</v>
      </c>
      <c r="H27" s="60" t="s">
        <v>308</v>
      </c>
      <c r="N27" s="62" t="s">
        <v>302</v>
      </c>
      <c r="O27" s="60" t="s">
        <v>37</v>
      </c>
      <c r="P27" s="266" t="s">
        <v>296</v>
      </c>
    </row>
    <row r="28" spans="1:16" x14ac:dyDescent="0.3">
      <c r="A28" s="60" t="s">
        <v>86</v>
      </c>
      <c r="B28" s="60" t="s">
        <v>301</v>
      </c>
      <c r="C28" s="364">
        <v>86.197488989362171</v>
      </c>
      <c r="D28" s="364">
        <v>93.536635388808193</v>
      </c>
      <c r="E28" s="364">
        <v>93.151737430882463</v>
      </c>
      <c r="F28" s="364">
        <v>82.110139531269041</v>
      </c>
      <c r="G28" s="364">
        <v>75.086282425636782</v>
      </c>
      <c r="H28" s="364">
        <v>83.962240206813235</v>
      </c>
      <c r="N28" s="62"/>
      <c r="P28" s="266"/>
    </row>
    <row r="29" spans="1:16" x14ac:dyDescent="0.3">
      <c r="A29" s="358"/>
      <c r="B29" s="60" t="s">
        <v>115</v>
      </c>
      <c r="C29" s="363">
        <f t="shared" ref="C29:H29" si="3">C28/1000</f>
        <v>8.6197488989362164E-2</v>
      </c>
      <c r="D29" s="363">
        <f t="shared" si="3"/>
        <v>9.3536635388808187E-2</v>
      </c>
      <c r="E29" s="363">
        <f t="shared" si="3"/>
        <v>9.3151737430882467E-2</v>
      </c>
      <c r="F29" s="363">
        <f t="shared" si="3"/>
        <v>8.2110139531269041E-2</v>
      </c>
      <c r="G29" s="363">
        <f t="shared" si="3"/>
        <v>7.508628242563678E-2</v>
      </c>
      <c r="H29" s="363">
        <f t="shared" si="3"/>
        <v>8.3962240206813241E-2</v>
      </c>
    </row>
    <row r="30" spans="1:16" x14ac:dyDescent="0.3">
      <c r="A30" s="358" t="s">
        <v>87</v>
      </c>
      <c r="B30" s="60" t="s">
        <v>88</v>
      </c>
      <c r="C30" s="368">
        <v>4730</v>
      </c>
      <c r="D30" s="368">
        <v>4730</v>
      </c>
      <c r="E30" s="368">
        <v>4730</v>
      </c>
      <c r="F30" s="368">
        <v>4730</v>
      </c>
      <c r="G30" s="368">
        <v>4730</v>
      </c>
      <c r="H30" s="368">
        <v>4730</v>
      </c>
      <c r="N30" s="62"/>
      <c r="P30" s="266"/>
    </row>
    <row r="31" spans="1:16" x14ac:dyDescent="0.3">
      <c r="A31" s="358"/>
      <c r="N31" s="62"/>
      <c r="P31" s="266"/>
    </row>
    <row r="32" spans="1:16" ht="12.45" customHeight="1" x14ac:dyDescent="0.3">
      <c r="A32" s="359" t="s">
        <v>310</v>
      </c>
      <c r="C32" s="60" t="s">
        <v>303</v>
      </c>
      <c r="D32" s="60" t="s">
        <v>304</v>
      </c>
      <c r="E32" s="60" t="s">
        <v>305</v>
      </c>
      <c r="F32" s="60" t="s">
        <v>306</v>
      </c>
      <c r="G32" s="60" t="s">
        <v>307</v>
      </c>
      <c r="H32" s="60" t="s">
        <v>308</v>
      </c>
      <c r="N32" s="62"/>
    </row>
    <row r="33" spans="1:14" x14ac:dyDescent="0.3">
      <c r="A33" s="358" t="s">
        <v>86</v>
      </c>
      <c r="B33" s="60" t="s">
        <v>301</v>
      </c>
      <c r="C33" s="364">
        <v>92.656301685870076</v>
      </c>
      <c r="D33" s="364">
        <v>97.293691560105401</v>
      </c>
      <c r="E33" s="364">
        <v>94.794210651174041</v>
      </c>
      <c r="F33" s="364">
        <v>87.278881444286455</v>
      </c>
      <c r="G33" s="364">
        <v>74.557923406020066</v>
      </c>
      <c r="H33" s="364">
        <v>83.728376960961469</v>
      </c>
      <c r="N33" s="62"/>
    </row>
    <row r="34" spans="1:14" x14ac:dyDescent="0.3">
      <c r="A34" s="358"/>
      <c r="B34" s="60" t="s">
        <v>115</v>
      </c>
      <c r="C34" s="363">
        <f t="shared" ref="C34:H34" si="4">C33/1000</f>
        <v>9.2656301685870079E-2</v>
      </c>
      <c r="D34" s="363">
        <f t="shared" si="4"/>
        <v>9.7293691560105394E-2</v>
      </c>
      <c r="E34" s="363">
        <f t="shared" si="4"/>
        <v>9.4794210651174035E-2</v>
      </c>
      <c r="F34" s="363">
        <f t="shared" si="4"/>
        <v>8.7278881444286457E-2</v>
      </c>
      <c r="G34" s="363">
        <f t="shared" si="4"/>
        <v>7.4557923406020063E-2</v>
      </c>
      <c r="H34" s="363">
        <f t="shared" si="4"/>
        <v>8.372837696096147E-2</v>
      </c>
      <c r="N34" s="62"/>
    </row>
    <row r="35" spans="1:14" x14ac:dyDescent="0.3">
      <c r="A35" s="358" t="s">
        <v>87</v>
      </c>
      <c r="B35" s="60" t="s">
        <v>88</v>
      </c>
      <c r="C35" s="368">
        <v>6365</v>
      </c>
      <c r="D35" s="368">
        <v>6365</v>
      </c>
      <c r="E35" s="368">
        <v>6365</v>
      </c>
      <c r="F35" s="368">
        <v>6365</v>
      </c>
      <c r="G35" s="368">
        <v>6365</v>
      </c>
      <c r="H35" s="368">
        <v>6365</v>
      </c>
      <c r="N35" s="62"/>
    </row>
    <row r="36" spans="1:14" x14ac:dyDescent="0.3">
      <c r="A36" s="358"/>
      <c r="N36" s="62"/>
    </row>
    <row r="37" spans="1:14" x14ac:dyDescent="0.3">
      <c r="A37" s="359" t="s">
        <v>294</v>
      </c>
      <c r="C37" s="60" t="s">
        <v>303</v>
      </c>
      <c r="D37" s="60" t="s">
        <v>304</v>
      </c>
      <c r="E37" s="60" t="s">
        <v>305</v>
      </c>
      <c r="F37" s="60" t="s">
        <v>306</v>
      </c>
      <c r="G37" s="60" t="s">
        <v>307</v>
      </c>
      <c r="H37" s="60" t="s">
        <v>308</v>
      </c>
      <c r="N37" s="62"/>
    </row>
    <row r="38" spans="1:14" x14ac:dyDescent="0.3">
      <c r="A38" s="358" t="s">
        <v>86</v>
      </c>
      <c r="B38" s="60" t="s">
        <v>301</v>
      </c>
      <c r="C38" s="364">
        <v>10</v>
      </c>
      <c r="D38" s="364">
        <v>10</v>
      </c>
      <c r="E38" s="364">
        <v>10</v>
      </c>
      <c r="F38" s="364">
        <v>10</v>
      </c>
      <c r="G38" s="364">
        <v>10</v>
      </c>
      <c r="H38" s="364">
        <v>10</v>
      </c>
      <c r="N38" s="62"/>
    </row>
    <row r="39" spans="1:14" x14ac:dyDescent="0.3">
      <c r="A39" s="358"/>
      <c r="B39" s="60" t="s">
        <v>115</v>
      </c>
      <c r="C39" s="363">
        <f t="shared" ref="C39:H39" si="5">C38/1000</f>
        <v>0.01</v>
      </c>
      <c r="D39" s="363">
        <f t="shared" si="5"/>
        <v>0.01</v>
      </c>
      <c r="E39" s="363">
        <f t="shared" si="5"/>
        <v>0.01</v>
      </c>
      <c r="F39" s="363">
        <f t="shared" si="5"/>
        <v>0.01</v>
      </c>
      <c r="G39" s="363">
        <f t="shared" si="5"/>
        <v>0.01</v>
      </c>
      <c r="H39" s="363">
        <f t="shared" si="5"/>
        <v>0.01</v>
      </c>
      <c r="N39" s="62"/>
    </row>
    <row r="40" spans="1:14" x14ac:dyDescent="0.3">
      <c r="A40" s="358" t="s">
        <v>87</v>
      </c>
      <c r="B40" s="60" t="s">
        <v>88</v>
      </c>
      <c r="C40" s="368">
        <v>1185</v>
      </c>
      <c r="D40" s="368">
        <v>1424.5428867599994</v>
      </c>
      <c r="E40" s="368">
        <v>1900.1150698799991</v>
      </c>
      <c r="F40" s="368">
        <v>2435.1573249600001</v>
      </c>
      <c r="G40" s="368">
        <v>3792.7270333200031</v>
      </c>
      <c r="H40" s="368">
        <v>4486.7944740000012</v>
      </c>
      <c r="N40" s="62"/>
    </row>
    <row r="41" spans="1:14" x14ac:dyDescent="0.3">
      <c r="A41" s="266"/>
      <c r="B41" s="266"/>
      <c r="C41" s="266"/>
      <c r="D41" s="266"/>
      <c r="E41" s="266"/>
      <c r="F41" s="266"/>
      <c r="G41" s="266"/>
      <c r="H41" s="266"/>
      <c r="N41" s="62"/>
    </row>
    <row r="42" spans="1:14" x14ac:dyDescent="0.3">
      <c r="A42" s="360" t="s">
        <v>296</v>
      </c>
      <c r="B42" s="266"/>
      <c r="C42" s="266" t="s">
        <v>303</v>
      </c>
      <c r="D42" s="266" t="s">
        <v>304</v>
      </c>
      <c r="E42" s="266">
        <v>2035</v>
      </c>
      <c r="F42" s="266" t="s">
        <v>306</v>
      </c>
      <c r="G42" s="266" t="s">
        <v>307</v>
      </c>
      <c r="H42" s="266" t="s">
        <v>308</v>
      </c>
      <c r="N42" s="62"/>
    </row>
    <row r="43" spans="1:14" x14ac:dyDescent="0.3">
      <c r="A43" s="266"/>
      <c r="B43" s="266" t="s">
        <v>301</v>
      </c>
      <c r="C43" s="365">
        <v>0</v>
      </c>
      <c r="D43" s="365">
        <v>0</v>
      </c>
      <c r="E43" s="365">
        <v>0</v>
      </c>
      <c r="F43" s="365">
        <v>0</v>
      </c>
      <c r="G43" s="365">
        <v>0</v>
      </c>
      <c r="H43" s="365">
        <v>0</v>
      </c>
      <c r="N43" s="62"/>
    </row>
    <row r="44" spans="1:14" x14ac:dyDescent="0.3">
      <c r="A44" s="266"/>
      <c r="B44" s="266" t="s">
        <v>115</v>
      </c>
      <c r="C44" s="367">
        <v>0</v>
      </c>
      <c r="D44" s="367">
        <v>0</v>
      </c>
      <c r="E44" s="367">
        <v>0</v>
      </c>
      <c r="F44" s="367">
        <v>0</v>
      </c>
      <c r="G44" s="367">
        <v>0</v>
      </c>
      <c r="H44" s="367">
        <v>0</v>
      </c>
      <c r="N44" s="62"/>
    </row>
    <row r="45" spans="1:14" x14ac:dyDescent="0.3">
      <c r="A45" s="266" t="s">
        <v>87</v>
      </c>
      <c r="B45" s="266" t="s">
        <v>88</v>
      </c>
      <c r="C45" s="366">
        <v>0</v>
      </c>
      <c r="D45" s="366">
        <v>0</v>
      </c>
      <c r="E45" s="366">
        <v>0</v>
      </c>
      <c r="F45" s="366">
        <v>0</v>
      </c>
      <c r="G45" s="366">
        <v>0</v>
      </c>
      <c r="H45" s="366">
        <v>0</v>
      </c>
      <c r="N45" s="62"/>
    </row>
    <row r="46" spans="1:14" x14ac:dyDescent="0.3">
      <c r="N46" s="62"/>
    </row>
    <row r="47" spans="1:14" x14ac:dyDescent="0.3">
      <c r="A47" s="323" t="s">
        <v>311</v>
      </c>
      <c r="B47" s="324"/>
      <c r="C47" s="324"/>
      <c r="D47" s="324"/>
      <c r="E47" s="324"/>
      <c r="F47" s="324"/>
      <c r="G47" s="324"/>
      <c r="H47" s="324"/>
      <c r="N47" s="62"/>
    </row>
    <row r="48" spans="1:14" x14ac:dyDescent="0.3">
      <c r="B48" s="60" t="s">
        <v>312</v>
      </c>
      <c r="N48" s="62"/>
    </row>
    <row r="49" spans="1:14" x14ac:dyDescent="0.3">
      <c r="A49" s="60" t="s">
        <v>174</v>
      </c>
      <c r="B49" s="60" t="s">
        <v>301</v>
      </c>
      <c r="C49" s="60">
        <v>24</v>
      </c>
      <c r="N49" s="62"/>
    </row>
    <row r="50" spans="1:14" x14ac:dyDescent="0.3">
      <c r="B50" s="60" t="s">
        <v>115</v>
      </c>
      <c r="C50" s="60">
        <f>C49/1000</f>
        <v>2.4E-2</v>
      </c>
    </row>
    <row r="52" spans="1:14" x14ac:dyDescent="0.3">
      <c r="C52" s="60">
        <v>2028</v>
      </c>
      <c r="D52" s="60">
        <v>2030</v>
      </c>
      <c r="E52" s="60">
        <v>2035</v>
      </c>
      <c r="F52" s="60">
        <v>2040</v>
      </c>
    </row>
    <row r="53" spans="1:14" ht="15.6" x14ac:dyDescent="0.3">
      <c r="A53" s="11" t="s">
        <v>178</v>
      </c>
      <c r="B53" s="60" t="s">
        <v>85</v>
      </c>
      <c r="C53" s="60">
        <v>40</v>
      </c>
      <c r="D53" s="60">
        <v>100</v>
      </c>
      <c r="E53" s="60">
        <v>200</v>
      </c>
      <c r="F53" s="60">
        <v>300</v>
      </c>
    </row>
    <row r="54" spans="1:14" x14ac:dyDescent="0.3">
      <c r="B54" s="60" t="s">
        <v>115</v>
      </c>
      <c r="C54" s="60">
        <f>C53/5/1000</f>
        <v>8.0000000000000002E-3</v>
      </c>
      <c r="D54" s="60">
        <f>D53/5/1000</f>
        <v>0.02</v>
      </c>
      <c r="E54" s="60">
        <f>E53/5/1000</f>
        <v>0.04</v>
      </c>
      <c r="F54" s="60">
        <f>F53/5/1000</f>
        <v>0.06</v>
      </c>
    </row>
    <row r="56" spans="1:14" x14ac:dyDescent="0.3">
      <c r="A56" s="59" t="s">
        <v>289</v>
      </c>
      <c r="C56" s="60" t="s">
        <v>303</v>
      </c>
      <c r="D56" s="60" t="s">
        <v>304</v>
      </c>
      <c r="E56" s="60" t="s">
        <v>305</v>
      </c>
      <c r="F56" s="60" t="s">
        <v>306</v>
      </c>
      <c r="G56" s="60" t="s">
        <v>307</v>
      </c>
      <c r="H56" s="60" t="s">
        <v>308</v>
      </c>
    </row>
    <row r="57" spans="1:14" x14ac:dyDescent="0.3">
      <c r="A57" s="60" t="s">
        <v>86</v>
      </c>
      <c r="B57" s="60" t="s">
        <v>301</v>
      </c>
      <c r="C57" s="364">
        <v>120</v>
      </c>
      <c r="D57" s="364">
        <v>103.66262001083784</v>
      </c>
      <c r="E57" s="364">
        <v>105.64332349454273</v>
      </c>
      <c r="F57" s="364">
        <v>113.0287453553495</v>
      </c>
      <c r="G57" s="364">
        <v>109.5075723728737</v>
      </c>
      <c r="H57" s="364">
        <v>99.671502189295992</v>
      </c>
    </row>
    <row r="58" spans="1:14" x14ac:dyDescent="0.3">
      <c r="B58" s="60" t="s">
        <v>115</v>
      </c>
      <c r="C58" s="363">
        <f t="shared" ref="C58:H58" si="6">C57/1000</f>
        <v>0.12</v>
      </c>
      <c r="D58" s="363">
        <f t="shared" si="6"/>
        <v>0.10366262001083784</v>
      </c>
      <c r="E58" s="363">
        <f t="shared" si="6"/>
        <v>0.10564332349454272</v>
      </c>
      <c r="F58" s="363">
        <f t="shared" si="6"/>
        <v>0.1130287453553495</v>
      </c>
      <c r="G58" s="363">
        <f t="shared" si="6"/>
        <v>0.1095075723728737</v>
      </c>
      <c r="H58" s="363">
        <f t="shared" si="6"/>
        <v>9.9671502189295991E-2</v>
      </c>
    </row>
    <row r="59" spans="1:14" x14ac:dyDescent="0.3">
      <c r="A59" s="358" t="s">
        <v>87</v>
      </c>
      <c r="B59" s="60" t="s">
        <v>88</v>
      </c>
      <c r="C59" s="368">
        <v>8000</v>
      </c>
      <c r="D59" s="368">
        <v>8000</v>
      </c>
      <c r="E59" s="368">
        <v>8000</v>
      </c>
      <c r="F59" s="368">
        <v>8000</v>
      </c>
      <c r="G59" s="368">
        <v>8000</v>
      </c>
      <c r="H59" s="368">
        <v>8000</v>
      </c>
    </row>
    <row r="61" spans="1:14" x14ac:dyDescent="0.3">
      <c r="A61" s="59" t="s">
        <v>40</v>
      </c>
      <c r="C61" s="60" t="s">
        <v>303</v>
      </c>
      <c r="D61" s="60" t="s">
        <v>304</v>
      </c>
      <c r="E61" s="60" t="s">
        <v>305</v>
      </c>
      <c r="F61" s="60" t="s">
        <v>306</v>
      </c>
      <c r="G61" s="60" t="s">
        <v>307</v>
      </c>
      <c r="H61" s="60" t="s">
        <v>308</v>
      </c>
    </row>
    <row r="62" spans="1:14" x14ac:dyDescent="0.3">
      <c r="A62" s="60" t="s">
        <v>86</v>
      </c>
      <c r="B62" s="60" t="s">
        <v>301</v>
      </c>
      <c r="C62" s="364">
        <v>111.76977123524402</v>
      </c>
      <c r="D62" s="364">
        <v>92.481133370071902</v>
      </c>
      <c r="E62" s="364">
        <v>85.084781794527771</v>
      </c>
      <c r="F62" s="364">
        <v>89.762078519417713</v>
      </c>
      <c r="G62" s="364">
        <v>89.906524810831698</v>
      </c>
      <c r="H62" s="364">
        <v>84.072295930965637</v>
      </c>
    </row>
    <row r="63" spans="1:14" x14ac:dyDescent="0.3">
      <c r="B63" s="60" t="s">
        <v>115</v>
      </c>
      <c r="C63" s="363">
        <f t="shared" ref="C63:H63" si="7">C62/1000</f>
        <v>0.11176977123524402</v>
      </c>
      <c r="D63" s="363">
        <f t="shared" si="7"/>
        <v>9.2481133370071897E-2</v>
      </c>
      <c r="E63" s="363">
        <f t="shared" si="7"/>
        <v>8.5084781794527775E-2</v>
      </c>
      <c r="F63" s="363">
        <f t="shared" si="7"/>
        <v>8.9762078519417712E-2</v>
      </c>
      <c r="G63" s="363">
        <f t="shared" si="7"/>
        <v>8.9906524810831695E-2</v>
      </c>
      <c r="H63" s="363">
        <f t="shared" si="7"/>
        <v>8.4072295930965643E-2</v>
      </c>
    </row>
    <row r="64" spans="1:14" x14ac:dyDescent="0.3">
      <c r="A64" s="358" t="s">
        <v>87</v>
      </c>
      <c r="B64" s="60" t="s">
        <v>88</v>
      </c>
      <c r="C64" s="368">
        <v>3040</v>
      </c>
      <c r="D64" s="368">
        <v>3040</v>
      </c>
      <c r="E64" s="368">
        <v>3040</v>
      </c>
      <c r="F64" s="368">
        <v>3040</v>
      </c>
      <c r="G64" s="368">
        <v>3040</v>
      </c>
      <c r="H64" s="368">
        <v>3040</v>
      </c>
    </row>
    <row r="66" spans="1:8" x14ac:dyDescent="0.3">
      <c r="A66" s="59" t="s">
        <v>291</v>
      </c>
      <c r="C66" s="60" t="s">
        <v>303</v>
      </c>
      <c r="D66" s="60" t="s">
        <v>304</v>
      </c>
      <c r="E66" s="60" t="s">
        <v>305</v>
      </c>
      <c r="F66" s="60" t="s">
        <v>306</v>
      </c>
      <c r="G66" s="60" t="s">
        <v>307</v>
      </c>
      <c r="H66" s="60" t="s">
        <v>308</v>
      </c>
    </row>
    <row r="67" spans="1:8" x14ac:dyDescent="0.3">
      <c r="A67" s="60" t="s">
        <v>86</v>
      </c>
      <c r="B67" s="60" t="s">
        <v>301</v>
      </c>
      <c r="C67" s="364">
        <v>78.022335910169943</v>
      </c>
      <c r="D67" s="364">
        <v>82.208723270057106</v>
      </c>
      <c r="E67" s="364">
        <v>71.047955802730343</v>
      </c>
      <c r="F67" s="364">
        <v>62.303109284352288</v>
      </c>
      <c r="G67" s="364">
        <v>64.285858287931035</v>
      </c>
      <c r="H67" s="364">
        <v>58.748249027139494</v>
      </c>
    </row>
    <row r="68" spans="1:8" x14ac:dyDescent="0.3">
      <c r="B68" s="60" t="s">
        <v>115</v>
      </c>
      <c r="C68" s="363">
        <f t="shared" ref="C68:H68" si="8">C67/1000</f>
        <v>7.8022335910169938E-2</v>
      </c>
      <c r="D68" s="363">
        <f t="shared" si="8"/>
        <v>8.2208723270057113E-2</v>
      </c>
      <c r="E68" s="363">
        <f t="shared" si="8"/>
        <v>7.1047955802730337E-2</v>
      </c>
      <c r="F68" s="363">
        <f t="shared" si="8"/>
        <v>6.2303109284352287E-2</v>
      </c>
      <c r="G68" s="363">
        <f t="shared" si="8"/>
        <v>6.4285858287931041E-2</v>
      </c>
      <c r="H68" s="363">
        <f t="shared" si="8"/>
        <v>5.8748249027139494E-2</v>
      </c>
    </row>
    <row r="69" spans="1:8" x14ac:dyDescent="0.3">
      <c r="A69" s="358" t="s">
        <v>87</v>
      </c>
      <c r="B69" s="60" t="s">
        <v>88</v>
      </c>
      <c r="C69" s="368">
        <v>1460</v>
      </c>
      <c r="D69" s="368">
        <v>1460</v>
      </c>
      <c r="E69" s="368">
        <v>1460</v>
      </c>
      <c r="F69" s="368">
        <v>1460</v>
      </c>
      <c r="G69" s="368">
        <v>1460</v>
      </c>
      <c r="H69" s="368">
        <v>1460</v>
      </c>
    </row>
    <row r="71" spans="1:8" x14ac:dyDescent="0.3">
      <c r="A71" s="59" t="s">
        <v>292</v>
      </c>
      <c r="C71" s="60" t="s">
        <v>303</v>
      </c>
      <c r="D71" s="60" t="s">
        <v>304</v>
      </c>
      <c r="E71" s="60" t="s">
        <v>305</v>
      </c>
      <c r="F71" s="60" t="s">
        <v>306</v>
      </c>
      <c r="G71" s="60" t="s">
        <v>307</v>
      </c>
      <c r="H71" s="60" t="s">
        <v>308</v>
      </c>
    </row>
    <row r="72" spans="1:8" x14ac:dyDescent="0.3">
      <c r="A72" s="358" t="s">
        <v>86</v>
      </c>
      <c r="B72" s="60" t="s">
        <v>301</v>
      </c>
      <c r="C72" s="364">
        <v>94.89605357270699</v>
      </c>
      <c r="D72" s="364">
        <v>92.93567164044741</v>
      </c>
      <c r="E72" s="364">
        <v>88.345639648636592</v>
      </c>
      <c r="F72" s="364">
        <v>87.665927319850852</v>
      </c>
      <c r="G72" s="364">
        <v>86.896715330402387</v>
      </c>
      <c r="H72" s="364">
        <v>79.209875608217715</v>
      </c>
    </row>
    <row r="73" spans="1:8" x14ac:dyDescent="0.3">
      <c r="A73" s="358"/>
      <c r="B73" s="60" t="s">
        <v>115</v>
      </c>
      <c r="C73" s="363">
        <f t="shared" ref="C73:H73" si="9">C72/1000</f>
        <v>9.4896053572706987E-2</v>
      </c>
      <c r="D73" s="363">
        <f t="shared" si="9"/>
        <v>9.2935671640447415E-2</v>
      </c>
      <c r="E73" s="363">
        <f t="shared" si="9"/>
        <v>8.8345639648636592E-2</v>
      </c>
      <c r="F73" s="363">
        <f t="shared" si="9"/>
        <v>8.7665927319850845E-2</v>
      </c>
      <c r="G73" s="363">
        <f t="shared" si="9"/>
        <v>8.6896715330402385E-2</v>
      </c>
      <c r="H73" s="363">
        <f t="shared" si="9"/>
        <v>7.9209875608217711E-2</v>
      </c>
    </row>
    <row r="74" spans="1:8" x14ac:dyDescent="0.3">
      <c r="A74" s="358" t="s">
        <v>87</v>
      </c>
      <c r="B74" s="60" t="s">
        <v>88</v>
      </c>
      <c r="C74" s="368">
        <v>4730</v>
      </c>
      <c r="D74" s="368">
        <v>4730</v>
      </c>
      <c r="E74" s="368">
        <v>4730</v>
      </c>
      <c r="F74" s="368">
        <v>4730</v>
      </c>
      <c r="G74" s="368">
        <v>4730</v>
      </c>
      <c r="H74" s="368">
        <v>4730</v>
      </c>
    </row>
    <row r="75" spans="1:8" x14ac:dyDescent="0.3">
      <c r="A75" s="358"/>
    </row>
    <row r="76" spans="1:8" x14ac:dyDescent="0.3">
      <c r="A76" s="359" t="s">
        <v>310</v>
      </c>
      <c r="C76" s="60" t="s">
        <v>303</v>
      </c>
      <c r="D76" s="60" t="s">
        <v>304</v>
      </c>
      <c r="E76" s="60" t="s">
        <v>305</v>
      </c>
      <c r="F76" s="60" t="s">
        <v>306</v>
      </c>
      <c r="G76" s="60" t="s">
        <v>307</v>
      </c>
      <c r="H76" s="60" t="s">
        <v>308</v>
      </c>
    </row>
    <row r="77" spans="1:8" x14ac:dyDescent="0.3">
      <c r="A77" s="358" t="s">
        <v>86</v>
      </c>
      <c r="B77" s="60" t="s">
        <v>301</v>
      </c>
      <c r="C77" s="364">
        <v>102.00558397754249</v>
      </c>
      <c r="D77" s="364">
        <v>96.740549169613828</v>
      </c>
      <c r="E77" s="364">
        <v>90.14025955924015</v>
      </c>
      <c r="F77" s="364">
        <v>94.821896733517832</v>
      </c>
      <c r="G77" s="364">
        <v>92.498305227858395</v>
      </c>
      <c r="H77" s="364">
        <v>85.12670923867023</v>
      </c>
    </row>
    <row r="78" spans="1:8" x14ac:dyDescent="0.3">
      <c r="A78" s="358"/>
      <c r="B78" s="60" t="s">
        <v>115</v>
      </c>
      <c r="C78" s="363">
        <f t="shared" ref="C78:H78" si="10">C77/1000</f>
        <v>0.10200558397754249</v>
      </c>
      <c r="D78" s="363">
        <f t="shared" si="10"/>
        <v>9.6740549169613832E-2</v>
      </c>
      <c r="E78" s="363">
        <f t="shared" si="10"/>
        <v>9.0140259559240155E-2</v>
      </c>
      <c r="F78" s="363">
        <f t="shared" si="10"/>
        <v>9.4821896733517833E-2</v>
      </c>
      <c r="G78" s="363">
        <f t="shared" si="10"/>
        <v>9.2498305227858402E-2</v>
      </c>
      <c r="H78" s="363">
        <f t="shared" si="10"/>
        <v>8.5126709238670231E-2</v>
      </c>
    </row>
    <row r="79" spans="1:8" x14ac:dyDescent="0.3">
      <c r="A79" s="358" t="s">
        <v>87</v>
      </c>
      <c r="B79" s="60" t="s">
        <v>88</v>
      </c>
      <c r="C79" s="368">
        <v>6365</v>
      </c>
      <c r="D79" s="368">
        <v>6365</v>
      </c>
      <c r="E79" s="368">
        <v>6365</v>
      </c>
      <c r="F79" s="368">
        <v>6365</v>
      </c>
      <c r="G79" s="368">
        <v>6365</v>
      </c>
      <c r="H79" s="368">
        <v>6365</v>
      </c>
    </row>
    <row r="80" spans="1:8" x14ac:dyDescent="0.3">
      <c r="A80" s="358"/>
      <c r="C80" s="322"/>
      <c r="D80" s="322"/>
      <c r="E80" s="322"/>
      <c r="F80" s="322"/>
      <c r="G80" s="322"/>
      <c r="H80" s="322"/>
    </row>
    <row r="81" spans="1:8" x14ac:dyDescent="0.3">
      <c r="A81" s="359" t="s">
        <v>294</v>
      </c>
      <c r="C81" s="60" t="s">
        <v>303</v>
      </c>
      <c r="D81" s="60" t="s">
        <v>304</v>
      </c>
      <c r="E81" s="60" t="s">
        <v>305</v>
      </c>
      <c r="F81" s="60" t="s">
        <v>306</v>
      </c>
      <c r="G81" s="60" t="s">
        <v>307</v>
      </c>
      <c r="H81" s="60" t="s">
        <v>308</v>
      </c>
    </row>
    <row r="82" spans="1:8" x14ac:dyDescent="0.3">
      <c r="A82" s="358" t="s">
        <v>86</v>
      </c>
      <c r="B82" s="60" t="s">
        <v>301</v>
      </c>
      <c r="C82" s="364">
        <v>15</v>
      </c>
      <c r="D82" s="364">
        <v>15</v>
      </c>
      <c r="E82" s="364">
        <v>15</v>
      </c>
      <c r="F82" s="364">
        <v>15</v>
      </c>
      <c r="G82" s="364">
        <v>15</v>
      </c>
      <c r="H82" s="364">
        <v>15</v>
      </c>
    </row>
    <row r="83" spans="1:8" x14ac:dyDescent="0.3">
      <c r="A83" s="358"/>
      <c r="B83" s="60" t="s">
        <v>115</v>
      </c>
      <c r="C83" s="363">
        <f t="shared" ref="C83:H83" si="11">C82/1000</f>
        <v>1.4999999999999999E-2</v>
      </c>
      <c r="D83" s="363">
        <f t="shared" si="11"/>
        <v>1.4999999999999999E-2</v>
      </c>
      <c r="E83" s="363">
        <f t="shared" si="11"/>
        <v>1.4999999999999999E-2</v>
      </c>
      <c r="F83" s="363">
        <f t="shared" si="11"/>
        <v>1.4999999999999999E-2</v>
      </c>
      <c r="G83" s="363">
        <f t="shared" si="11"/>
        <v>1.4999999999999999E-2</v>
      </c>
      <c r="H83" s="363">
        <f t="shared" si="11"/>
        <v>1.4999999999999999E-2</v>
      </c>
    </row>
    <row r="84" spans="1:8" x14ac:dyDescent="0.3">
      <c r="A84" s="60" t="s">
        <v>87</v>
      </c>
      <c r="B84" s="60" t="s">
        <v>88</v>
      </c>
      <c r="C84" s="368">
        <v>713.31599891999986</v>
      </c>
      <c r="D84" s="368">
        <v>1094.8074376799998</v>
      </c>
      <c r="E84" s="368">
        <v>2140.9559223599995</v>
      </c>
      <c r="F84" s="368">
        <v>1327.6695332399991</v>
      </c>
      <c r="G84" s="368">
        <v>1444.2309341999994</v>
      </c>
      <c r="H84" s="368">
        <v>1948.3178108399991</v>
      </c>
    </row>
    <row r="85" spans="1:8" x14ac:dyDescent="0.3">
      <c r="A85" s="266"/>
      <c r="B85" s="266"/>
      <c r="C85" s="266"/>
      <c r="D85" s="266"/>
      <c r="E85" s="266"/>
      <c r="F85" s="266"/>
      <c r="G85" s="266"/>
      <c r="H85" s="266"/>
    </row>
    <row r="86" spans="1:8" x14ac:dyDescent="0.3">
      <c r="A86" s="360" t="s">
        <v>296</v>
      </c>
      <c r="B86" s="266"/>
      <c r="C86" s="266" t="s">
        <v>303</v>
      </c>
      <c r="D86" s="266" t="s">
        <v>304</v>
      </c>
      <c r="E86" s="266">
        <v>2035</v>
      </c>
      <c r="F86" s="266" t="s">
        <v>306</v>
      </c>
      <c r="G86" s="266" t="s">
        <v>307</v>
      </c>
      <c r="H86" s="266" t="s">
        <v>308</v>
      </c>
    </row>
    <row r="87" spans="1:8" x14ac:dyDescent="0.3">
      <c r="A87" s="266"/>
      <c r="B87" s="266" t="s">
        <v>301</v>
      </c>
      <c r="C87" s="365">
        <v>0</v>
      </c>
      <c r="D87" s="365">
        <v>0</v>
      </c>
      <c r="E87" s="365">
        <v>0</v>
      </c>
      <c r="F87" s="365">
        <v>0</v>
      </c>
      <c r="G87" s="365">
        <v>0</v>
      </c>
      <c r="H87" s="365">
        <v>0</v>
      </c>
    </row>
    <row r="88" spans="1:8" x14ac:dyDescent="0.3">
      <c r="A88" s="266"/>
      <c r="B88" s="266" t="s">
        <v>115</v>
      </c>
      <c r="C88" s="367">
        <v>0</v>
      </c>
      <c r="D88" s="367">
        <v>0</v>
      </c>
      <c r="E88" s="367">
        <v>0</v>
      </c>
      <c r="F88" s="367">
        <v>0</v>
      </c>
      <c r="G88" s="367">
        <v>0</v>
      </c>
      <c r="H88" s="367">
        <v>0</v>
      </c>
    </row>
    <row r="89" spans="1:8" x14ac:dyDescent="0.3">
      <c r="A89" s="266" t="s">
        <v>87</v>
      </c>
      <c r="B89" s="266" t="s">
        <v>88</v>
      </c>
      <c r="C89" s="366">
        <v>0</v>
      </c>
      <c r="D89" s="366">
        <v>0</v>
      </c>
      <c r="E89" s="366">
        <v>0</v>
      </c>
      <c r="F89" s="366">
        <v>0</v>
      </c>
      <c r="G89" s="366">
        <v>0</v>
      </c>
      <c r="H89" s="366">
        <v>0</v>
      </c>
    </row>
    <row r="91" spans="1:8" x14ac:dyDescent="0.3">
      <c r="A91" s="323" t="s">
        <v>313</v>
      </c>
      <c r="B91" s="324"/>
      <c r="C91" s="324"/>
      <c r="D91" s="324"/>
      <c r="E91" s="324"/>
      <c r="F91" s="324"/>
      <c r="G91" s="324"/>
      <c r="H91" s="324"/>
    </row>
    <row r="92" spans="1:8" x14ac:dyDescent="0.3">
      <c r="B92" s="60" t="s">
        <v>314</v>
      </c>
    </row>
    <row r="93" spans="1:8" x14ac:dyDescent="0.3">
      <c r="A93" s="60" t="s">
        <v>174</v>
      </c>
      <c r="B93" s="60" t="s">
        <v>301</v>
      </c>
      <c r="C93" s="60">
        <v>32</v>
      </c>
    </row>
    <row r="94" spans="1:8" x14ac:dyDescent="0.3">
      <c r="B94" s="60" t="s">
        <v>115</v>
      </c>
      <c r="C94" s="60">
        <f>C93/1000</f>
        <v>3.2000000000000001E-2</v>
      </c>
    </row>
    <row r="96" spans="1:8" x14ac:dyDescent="0.3">
      <c r="C96" s="60">
        <v>2028</v>
      </c>
      <c r="D96" s="60">
        <v>2031</v>
      </c>
    </row>
    <row r="97" spans="1:8" ht="15.6" x14ac:dyDescent="0.3">
      <c r="A97" s="11" t="s">
        <v>178</v>
      </c>
      <c r="B97" s="60" t="s">
        <v>85</v>
      </c>
      <c r="C97" s="60">
        <v>70</v>
      </c>
      <c r="D97" s="60">
        <v>300</v>
      </c>
    </row>
    <row r="98" spans="1:8" x14ac:dyDescent="0.3">
      <c r="B98" s="60" t="s">
        <v>115</v>
      </c>
      <c r="C98" s="363">
        <f>C97/5/1000</f>
        <v>1.4E-2</v>
      </c>
      <c r="D98" s="363">
        <f>D97/5/1000</f>
        <v>0.06</v>
      </c>
    </row>
    <row r="100" spans="1:8" x14ac:dyDescent="0.3">
      <c r="A100" s="59" t="s">
        <v>289</v>
      </c>
      <c r="C100" s="60" t="s">
        <v>303</v>
      </c>
      <c r="D100" s="60" t="s">
        <v>304</v>
      </c>
      <c r="E100" s="60" t="s">
        <v>305</v>
      </c>
      <c r="F100" s="60" t="s">
        <v>306</v>
      </c>
      <c r="G100" s="60" t="s">
        <v>307</v>
      </c>
      <c r="H100" s="60" t="s">
        <v>308</v>
      </c>
    </row>
    <row r="101" spans="1:8" x14ac:dyDescent="0.3">
      <c r="A101" s="60" t="s">
        <v>86</v>
      </c>
      <c r="B101" s="60" t="s">
        <v>301</v>
      </c>
      <c r="C101" s="364">
        <v>82.572076721086617</v>
      </c>
      <c r="D101" s="364">
        <v>88.239258958377903</v>
      </c>
      <c r="E101" s="364">
        <v>81.04395966745443</v>
      </c>
      <c r="F101" s="364">
        <v>79.636968251215777</v>
      </c>
      <c r="G101" s="364">
        <v>83.923564059793023</v>
      </c>
      <c r="H101" s="364">
        <v>73.648367326856871</v>
      </c>
    </row>
    <row r="102" spans="1:8" x14ac:dyDescent="0.3">
      <c r="B102" s="60" t="s">
        <v>115</v>
      </c>
      <c r="C102" s="363">
        <f t="shared" ref="C102:H102" si="12">C101/1000</f>
        <v>8.2572076721086615E-2</v>
      </c>
      <c r="D102" s="363">
        <f t="shared" si="12"/>
        <v>8.8239258958377906E-2</v>
      </c>
      <c r="E102" s="363">
        <f t="shared" si="12"/>
        <v>8.1043959667454424E-2</v>
      </c>
      <c r="F102" s="363">
        <f t="shared" si="12"/>
        <v>7.9636968251215773E-2</v>
      </c>
      <c r="G102" s="363">
        <f t="shared" si="12"/>
        <v>8.3923564059793024E-2</v>
      </c>
      <c r="H102" s="363">
        <f t="shared" si="12"/>
        <v>7.3648367326856867E-2</v>
      </c>
    </row>
    <row r="103" spans="1:8" x14ac:dyDescent="0.3">
      <c r="A103" s="358" t="s">
        <v>87</v>
      </c>
      <c r="B103" s="60" t="s">
        <v>88</v>
      </c>
      <c r="C103" s="368">
        <v>8000</v>
      </c>
      <c r="D103" s="368">
        <v>8000</v>
      </c>
      <c r="E103" s="368">
        <v>8000</v>
      </c>
      <c r="F103" s="368">
        <v>8000</v>
      </c>
      <c r="G103" s="368">
        <v>8000</v>
      </c>
      <c r="H103" s="368">
        <v>8000</v>
      </c>
    </row>
    <row r="105" spans="1:8" x14ac:dyDescent="0.3">
      <c r="A105" s="59" t="s">
        <v>40</v>
      </c>
      <c r="C105" s="60" t="s">
        <v>303</v>
      </c>
      <c r="D105" s="60" t="s">
        <v>304</v>
      </c>
      <c r="E105" s="60" t="s">
        <v>305</v>
      </c>
      <c r="F105" s="60" t="s">
        <v>306</v>
      </c>
      <c r="G105" s="60" t="s">
        <v>307</v>
      </c>
      <c r="H105" s="60" t="s">
        <v>308</v>
      </c>
    </row>
    <row r="106" spans="1:8" x14ac:dyDescent="0.3">
      <c r="A106" s="60" t="s">
        <v>86</v>
      </c>
      <c r="B106" s="60" t="s">
        <v>301</v>
      </c>
      <c r="C106" s="364">
        <v>84.341847956330625</v>
      </c>
      <c r="D106" s="364">
        <v>78.72732200612738</v>
      </c>
      <c r="E106" s="364">
        <v>68.24441582694925</v>
      </c>
      <c r="F106" s="364">
        <v>65.237502009078426</v>
      </c>
      <c r="G106" s="364">
        <v>70.899119411270746</v>
      </c>
      <c r="H106" s="364">
        <v>69.72149987891504</v>
      </c>
    </row>
    <row r="107" spans="1:8" x14ac:dyDescent="0.3">
      <c r="B107" s="60" t="s">
        <v>115</v>
      </c>
      <c r="C107" s="363">
        <f t="shared" ref="C107:H107" si="13">C106/1000</f>
        <v>8.4341847956330623E-2</v>
      </c>
      <c r="D107" s="363">
        <f t="shared" si="13"/>
        <v>7.8727322006127379E-2</v>
      </c>
      <c r="E107" s="363">
        <f t="shared" si="13"/>
        <v>6.8244415826949248E-2</v>
      </c>
      <c r="F107" s="363">
        <f t="shared" si="13"/>
        <v>6.5237502009078421E-2</v>
      </c>
      <c r="G107" s="363">
        <f t="shared" si="13"/>
        <v>7.089911941127075E-2</v>
      </c>
      <c r="H107" s="363">
        <f t="shared" si="13"/>
        <v>6.9721499878915044E-2</v>
      </c>
    </row>
    <row r="108" spans="1:8" x14ac:dyDescent="0.3">
      <c r="A108" s="358" t="s">
        <v>87</v>
      </c>
      <c r="B108" s="60" t="s">
        <v>88</v>
      </c>
      <c r="C108" s="368">
        <v>3040</v>
      </c>
      <c r="D108" s="368">
        <v>3040</v>
      </c>
      <c r="E108" s="368">
        <v>3040</v>
      </c>
      <c r="F108" s="368">
        <v>3040</v>
      </c>
      <c r="G108" s="368">
        <v>3040</v>
      </c>
      <c r="H108" s="368">
        <v>3040</v>
      </c>
    </row>
    <row r="110" spans="1:8" x14ac:dyDescent="0.3">
      <c r="A110" s="59" t="s">
        <v>291</v>
      </c>
      <c r="C110" s="60" t="s">
        <v>303</v>
      </c>
      <c r="D110" s="60" t="s">
        <v>304</v>
      </c>
      <c r="E110" s="60" t="s">
        <v>305</v>
      </c>
      <c r="F110" s="60" t="s">
        <v>306</v>
      </c>
      <c r="G110" s="60" t="s">
        <v>307</v>
      </c>
      <c r="H110" s="60" t="s">
        <v>308</v>
      </c>
    </row>
    <row r="111" spans="1:8" x14ac:dyDescent="0.3">
      <c r="A111" s="60" t="s">
        <v>86</v>
      </c>
      <c r="B111" s="60" t="s">
        <v>301</v>
      </c>
      <c r="C111" s="364">
        <v>53.197283464566937</v>
      </c>
      <c r="D111" s="364">
        <v>71.642283236671446</v>
      </c>
      <c r="E111" s="364">
        <v>59.073434659545555</v>
      </c>
      <c r="F111" s="364">
        <v>57.694610534611662</v>
      </c>
      <c r="G111" s="364">
        <v>63.124198078441424</v>
      </c>
      <c r="H111" s="364">
        <v>54.641341998932866</v>
      </c>
    </row>
    <row r="112" spans="1:8" x14ac:dyDescent="0.3">
      <c r="B112" s="60" t="s">
        <v>115</v>
      </c>
      <c r="C112" s="363">
        <f t="shared" ref="C112:H112" si="14">C111/1000</f>
        <v>5.3197283464566938E-2</v>
      </c>
      <c r="D112" s="363">
        <f t="shared" si="14"/>
        <v>7.1642283236671447E-2</v>
      </c>
      <c r="E112" s="363">
        <f t="shared" si="14"/>
        <v>5.9073434659545558E-2</v>
      </c>
      <c r="F112" s="363">
        <f t="shared" si="14"/>
        <v>5.7694610534611661E-2</v>
      </c>
      <c r="G112" s="363">
        <f t="shared" si="14"/>
        <v>6.3124198078441426E-2</v>
      </c>
      <c r="H112" s="363">
        <f t="shared" si="14"/>
        <v>5.4641341998932863E-2</v>
      </c>
    </row>
    <row r="113" spans="1:8" x14ac:dyDescent="0.3">
      <c r="A113" s="358" t="s">
        <v>87</v>
      </c>
      <c r="B113" s="60" t="s">
        <v>88</v>
      </c>
      <c r="C113" s="368">
        <v>1460</v>
      </c>
      <c r="D113" s="368">
        <v>1460</v>
      </c>
      <c r="E113" s="368">
        <v>1460</v>
      </c>
      <c r="F113" s="368">
        <v>1460</v>
      </c>
      <c r="G113" s="368">
        <v>1460</v>
      </c>
      <c r="H113" s="368">
        <v>1460</v>
      </c>
    </row>
    <row r="115" spans="1:8" x14ac:dyDescent="0.3">
      <c r="A115" s="59" t="s">
        <v>292</v>
      </c>
      <c r="C115" s="60" t="s">
        <v>303</v>
      </c>
      <c r="D115" s="60" t="s">
        <v>304</v>
      </c>
      <c r="E115" s="60" t="s">
        <v>305</v>
      </c>
      <c r="F115" s="60" t="s">
        <v>306</v>
      </c>
      <c r="G115" s="60" t="s">
        <v>307</v>
      </c>
      <c r="H115" s="60" t="s">
        <v>308</v>
      </c>
    </row>
    <row r="116" spans="1:8" x14ac:dyDescent="0.3">
      <c r="A116" s="60" t="s">
        <v>86</v>
      </c>
      <c r="B116" s="60" t="s">
        <v>301</v>
      </c>
      <c r="C116" s="364">
        <v>68.769565710448774</v>
      </c>
      <c r="D116" s="364">
        <v>79.940771097524674</v>
      </c>
      <c r="E116" s="364">
        <v>70.058697163499957</v>
      </c>
      <c r="F116" s="364">
        <v>68.665789392913638</v>
      </c>
      <c r="G116" s="364">
        <v>73.523881069117209</v>
      </c>
      <c r="H116" s="364">
        <v>64.144854662894858</v>
      </c>
    </row>
    <row r="117" spans="1:8" x14ac:dyDescent="0.3">
      <c r="B117" s="60" t="s">
        <v>115</v>
      </c>
      <c r="C117" s="363">
        <f t="shared" ref="C117:H117" si="15">C116/1000</f>
        <v>6.8769565710448774E-2</v>
      </c>
      <c r="D117" s="363">
        <f t="shared" si="15"/>
        <v>7.9940771097524677E-2</v>
      </c>
      <c r="E117" s="363">
        <f t="shared" si="15"/>
        <v>7.0058697163499953E-2</v>
      </c>
      <c r="F117" s="363">
        <f t="shared" si="15"/>
        <v>6.8665789392913637E-2</v>
      </c>
      <c r="G117" s="363">
        <f t="shared" si="15"/>
        <v>7.3523881069117211E-2</v>
      </c>
      <c r="H117" s="363">
        <f t="shared" si="15"/>
        <v>6.4144854662894851E-2</v>
      </c>
    </row>
    <row r="118" spans="1:8" x14ac:dyDescent="0.3">
      <c r="A118" s="358" t="s">
        <v>87</v>
      </c>
      <c r="B118" s="60" t="s">
        <v>88</v>
      </c>
      <c r="C118" s="368">
        <v>4730</v>
      </c>
      <c r="D118" s="368">
        <v>4730</v>
      </c>
      <c r="E118" s="368">
        <v>4730</v>
      </c>
      <c r="F118" s="368">
        <v>4730</v>
      </c>
      <c r="G118" s="368">
        <v>4730</v>
      </c>
      <c r="H118" s="368">
        <v>4730</v>
      </c>
    </row>
    <row r="120" spans="1:8" x14ac:dyDescent="0.3">
      <c r="A120" s="359" t="s">
        <v>310</v>
      </c>
      <c r="C120" s="60" t="s">
        <v>303</v>
      </c>
      <c r="D120" s="60" t="s">
        <v>304</v>
      </c>
      <c r="E120" s="60" t="s">
        <v>305</v>
      </c>
      <c r="F120" s="60" t="s">
        <v>306</v>
      </c>
      <c r="G120" s="60" t="s">
        <v>307</v>
      </c>
      <c r="H120" s="60" t="s">
        <v>308</v>
      </c>
    </row>
    <row r="121" spans="1:8" x14ac:dyDescent="0.3">
      <c r="A121" s="60" t="s">
        <v>86</v>
      </c>
      <c r="B121" s="60" t="s">
        <v>301</v>
      </c>
      <c r="C121" s="364">
        <v>75.228378406956693</v>
      </c>
      <c r="D121" s="364">
        <v>82.354368247176723</v>
      </c>
      <c r="E121" s="364">
        <v>68.014875956237432</v>
      </c>
      <c r="F121" s="364">
        <v>68.619494794253583</v>
      </c>
      <c r="G121" s="364">
        <v>71.227179770872041</v>
      </c>
      <c r="H121" s="364">
        <v>63.166966256508324</v>
      </c>
    </row>
    <row r="122" spans="1:8" x14ac:dyDescent="0.3">
      <c r="B122" s="60" t="s">
        <v>115</v>
      </c>
      <c r="C122" s="363">
        <f t="shared" ref="C122:H122" si="16">C121/1000</f>
        <v>7.5228378406956689E-2</v>
      </c>
      <c r="D122" s="363">
        <f t="shared" si="16"/>
        <v>8.2354368247176721E-2</v>
      </c>
      <c r="E122" s="363">
        <f t="shared" si="16"/>
        <v>6.8014875956237439E-2</v>
      </c>
      <c r="F122" s="363">
        <f t="shared" si="16"/>
        <v>6.8619494794253583E-2</v>
      </c>
      <c r="G122" s="363">
        <f t="shared" si="16"/>
        <v>7.1227179770872034E-2</v>
      </c>
      <c r="H122" s="363">
        <f t="shared" si="16"/>
        <v>6.316696625650832E-2</v>
      </c>
    </row>
    <row r="123" spans="1:8" x14ac:dyDescent="0.3">
      <c r="A123" s="358" t="s">
        <v>87</v>
      </c>
      <c r="B123" s="60" t="s">
        <v>88</v>
      </c>
      <c r="C123" s="368">
        <v>6365</v>
      </c>
      <c r="D123" s="368">
        <v>6365</v>
      </c>
      <c r="E123" s="368">
        <v>6365</v>
      </c>
      <c r="F123" s="368">
        <v>6365</v>
      </c>
      <c r="G123" s="368">
        <v>6365</v>
      </c>
      <c r="H123" s="368">
        <v>6365</v>
      </c>
    </row>
    <row r="125" spans="1:8" x14ac:dyDescent="0.3">
      <c r="A125" s="359" t="s">
        <v>294</v>
      </c>
      <c r="C125" s="60" t="s">
        <v>303</v>
      </c>
      <c r="D125" s="60" t="s">
        <v>304</v>
      </c>
      <c r="E125" s="60" t="s">
        <v>305</v>
      </c>
      <c r="F125" s="60" t="s">
        <v>306</v>
      </c>
      <c r="G125" s="60" t="s">
        <v>307</v>
      </c>
      <c r="H125" s="60" t="s">
        <v>308</v>
      </c>
    </row>
    <row r="126" spans="1:8" x14ac:dyDescent="0.3">
      <c r="A126" s="60" t="s">
        <v>86</v>
      </c>
      <c r="B126" s="60" t="s">
        <v>301</v>
      </c>
      <c r="C126" s="364">
        <v>5</v>
      </c>
      <c r="D126" s="364">
        <v>5</v>
      </c>
      <c r="E126" s="364">
        <v>5</v>
      </c>
      <c r="F126" s="364">
        <v>5</v>
      </c>
      <c r="G126" s="364">
        <v>5</v>
      </c>
      <c r="H126" s="364">
        <v>5</v>
      </c>
    </row>
    <row r="127" spans="1:8" x14ac:dyDescent="0.3">
      <c r="B127" s="60" t="s">
        <v>115</v>
      </c>
      <c r="C127" s="363">
        <f t="shared" ref="C127:H127" si="17">C126/1000</f>
        <v>5.0000000000000001E-3</v>
      </c>
      <c r="D127" s="363">
        <f t="shared" si="17"/>
        <v>5.0000000000000001E-3</v>
      </c>
      <c r="E127" s="363">
        <f t="shared" si="17"/>
        <v>5.0000000000000001E-3</v>
      </c>
      <c r="F127" s="363">
        <f t="shared" si="17"/>
        <v>5.0000000000000001E-3</v>
      </c>
      <c r="G127" s="363">
        <f t="shared" si="17"/>
        <v>5.0000000000000001E-3</v>
      </c>
      <c r="H127" s="363">
        <f t="shared" si="17"/>
        <v>5.0000000000000001E-3</v>
      </c>
    </row>
    <row r="128" spans="1:8" x14ac:dyDescent="0.3">
      <c r="A128" s="60" t="s">
        <v>87</v>
      </c>
      <c r="B128" s="60" t="s">
        <v>88</v>
      </c>
      <c r="C128" s="368">
        <v>1185</v>
      </c>
      <c r="D128" s="368">
        <v>1900.1150698799991</v>
      </c>
      <c r="E128" s="368">
        <v>3217.9553049600031</v>
      </c>
      <c r="F128" s="368">
        <v>2672.485759080002</v>
      </c>
      <c r="G128" s="368">
        <v>3681.968992200002</v>
      </c>
      <c r="H128" s="368">
        <v>3959.5985509200023</v>
      </c>
    </row>
    <row r="129" spans="1:10" x14ac:dyDescent="0.3">
      <c r="C129" s="322"/>
      <c r="D129" s="322"/>
      <c r="E129" s="322"/>
      <c r="F129" s="322"/>
      <c r="G129" s="322"/>
      <c r="H129" s="322"/>
    </row>
    <row r="130" spans="1:10" x14ac:dyDescent="0.3">
      <c r="A130" s="360" t="s">
        <v>296</v>
      </c>
      <c r="B130" s="266"/>
      <c r="C130" s="266" t="s">
        <v>303</v>
      </c>
      <c r="D130" s="266" t="s">
        <v>304</v>
      </c>
      <c r="E130" s="266">
        <v>2035</v>
      </c>
      <c r="F130" s="266" t="s">
        <v>306</v>
      </c>
      <c r="G130" s="266" t="s">
        <v>307</v>
      </c>
      <c r="H130" s="266" t="s">
        <v>308</v>
      </c>
      <c r="I130" s="266"/>
      <c r="J130" s="266"/>
    </row>
    <row r="131" spans="1:10" x14ac:dyDescent="0.3">
      <c r="A131" s="266"/>
      <c r="B131" s="266" t="s">
        <v>301</v>
      </c>
      <c r="C131" s="365">
        <v>0</v>
      </c>
      <c r="D131" s="365">
        <v>0</v>
      </c>
      <c r="E131" s="365">
        <v>0</v>
      </c>
      <c r="F131" s="365">
        <v>0</v>
      </c>
      <c r="G131" s="365">
        <v>0</v>
      </c>
      <c r="H131" s="365">
        <v>0</v>
      </c>
      <c r="I131" s="266"/>
      <c r="J131" s="266"/>
    </row>
    <row r="132" spans="1:10" x14ac:dyDescent="0.3">
      <c r="A132" s="266"/>
      <c r="B132" s="266" t="s">
        <v>115</v>
      </c>
      <c r="C132" s="367">
        <v>0</v>
      </c>
      <c r="D132" s="367">
        <v>0</v>
      </c>
      <c r="E132" s="367">
        <v>0</v>
      </c>
      <c r="F132" s="367">
        <v>0</v>
      </c>
      <c r="G132" s="367">
        <v>0</v>
      </c>
      <c r="H132" s="367">
        <v>0</v>
      </c>
      <c r="I132" s="266"/>
      <c r="J132" s="266"/>
    </row>
    <row r="133" spans="1:10" x14ac:dyDescent="0.3">
      <c r="A133" s="266" t="s">
        <v>87</v>
      </c>
      <c r="B133" s="266" t="s">
        <v>88</v>
      </c>
      <c r="C133" s="366">
        <v>0</v>
      </c>
      <c r="D133" s="366">
        <v>0</v>
      </c>
      <c r="E133" s="366">
        <v>0</v>
      </c>
      <c r="F133" s="366">
        <v>0</v>
      </c>
      <c r="G133" s="366">
        <v>0</v>
      </c>
      <c r="H133" s="366">
        <v>0</v>
      </c>
      <c r="I133" s="266"/>
      <c r="J133" s="266"/>
    </row>
    <row r="134" spans="1:10" x14ac:dyDescent="0.3">
      <c r="A134" s="266"/>
      <c r="B134" s="266"/>
      <c r="C134" s="266"/>
      <c r="D134" s="266"/>
      <c r="E134" s="266"/>
      <c r="F134" s="266"/>
      <c r="G134" s="266"/>
      <c r="H134" s="266"/>
      <c r="I134" s="266"/>
      <c r="J134" s="26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84CDF4A6FDF1A4BB098036CC1BE8217" ma:contentTypeVersion="4" ma:contentTypeDescription="Create a new document." ma:contentTypeScope="" ma:versionID="be82acb2765ec5eb0f1cf7d1bdfb172b">
  <xsd:schema xmlns:xsd="http://www.w3.org/2001/XMLSchema" xmlns:xs="http://www.w3.org/2001/XMLSchema" xmlns:p="http://schemas.microsoft.com/office/2006/metadata/properties" xmlns:ns2="644dfac1-3f85-41a6-bd6a-11d738d17c4a" targetNamespace="http://schemas.microsoft.com/office/2006/metadata/properties" ma:root="true" ma:fieldsID="1b6170f28561faecb05c9bda1a044004" ns2:_="">
    <xsd:import namespace="644dfac1-3f85-41a6-bd6a-11d738d17c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4dfac1-3f85-41a6-bd6a-11d738d17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C84C71-D79B-4D4C-AB78-5BC0EA4C0B0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2C14839-EFB4-471D-B90E-4F01AAA7E853}">
  <ds:schemaRefs>
    <ds:schemaRef ds:uri="http://schemas.microsoft.com/sharepoint/v3/contenttype/forms"/>
  </ds:schemaRefs>
</ds:datastoreItem>
</file>

<file path=customXml/itemProps3.xml><?xml version="1.0" encoding="utf-8"?>
<ds:datastoreItem xmlns:ds="http://schemas.openxmlformats.org/officeDocument/2006/customXml" ds:itemID="{734C2AE6-E507-4761-A3E3-FB33608090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4dfac1-3f85-41a6-bd6a-11d738d17c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e2777ed-8237-4ab9-9278-2c144d6f6da3}" enabled="0" method="" siteId="{9e2777ed-8237-4ab9-9278-2c144d6f6da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1</vt:i4>
      </vt:variant>
    </vt:vector>
  </HeadingPairs>
  <TitlesOfParts>
    <vt:vector size="10" baseType="lpstr">
      <vt:lpstr>Toelichting</vt:lpstr>
      <vt:lpstr>DASHBOARD</vt:lpstr>
      <vt:lpstr>Manuele input</vt:lpstr>
      <vt:lpstr>Referentieparameters</vt:lpstr>
      <vt:lpstr>Achtergrondparameters</vt:lpstr>
      <vt:lpstr>Verbruiksprofielen</vt:lpstr>
      <vt:lpstr>Berekening business case</vt:lpstr>
      <vt:lpstr>Dropdown lists</vt:lpstr>
      <vt:lpstr>Achtergrond verbruiksprofielen</vt:lpstr>
      <vt:lpstr>'Berekening business case'!ev_periode_jaar</vt:lpstr>
    </vt:vector>
  </TitlesOfParts>
  <Manager/>
  <Company>VITO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Miet Van Dael</dc:creator>
  <cp:keywords/>
  <dc:description/>
  <cp:lastModifiedBy>Behaeghel Wout</cp:lastModifiedBy>
  <cp:revision/>
  <dcterms:created xsi:type="dcterms:W3CDTF">2024-06-28T06:20:10Z</dcterms:created>
  <dcterms:modified xsi:type="dcterms:W3CDTF">2026-09-02T12:47:01Z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0x010100884CDF4A6FDF1A4BB098036CC1BE8217</vt:lpwstr>
  </property>
</Properties>
</file>