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vlaamseoverheid-my.sharepoint.com/personal/korinne_laenen_vlaio_be/Documents/CfD/"/>
    </mc:Choice>
  </mc:AlternateContent>
  <xr:revisionPtr revIDLastSave="0" documentId="8_{64622ADF-5149-4DCC-BD32-E52A20922537}" xr6:coauthVersionLast="47" xr6:coauthVersionMax="47" xr10:uidLastSave="{00000000-0000-0000-0000-000000000000}"/>
  <bookViews>
    <workbookView xWindow="-120" yWindow="-120" windowWidth="29040" windowHeight="15840" tabRatio="836" xr2:uid="{DF96F96A-B62D-40C6-A0FC-DDB5D8C12A46}"/>
  </bookViews>
  <sheets>
    <sheet name="Toelichting" sheetId="52" r:id="rId1"/>
    <sheet name="Algemene parameters" sheetId="47" r:id="rId2"/>
    <sheet name="Technologie parameters" sheetId="46" r:id="rId3"/>
    <sheet name="Steunberekening" sheetId="83" r:id="rId4"/>
    <sheet name="voorbeeld e-boiler" sheetId="78" r:id="rId5"/>
    <sheet name="voorbeeld MVR" sheetId="82" r:id="rId6"/>
    <sheet name="dropdown lists" sheetId="72"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46" l="1"/>
  <c r="D26" i="46"/>
  <c r="C26" i="46"/>
  <c r="H51" i="82" s="1"/>
  <c r="H53" i="82" s="1"/>
  <c r="H101" i="82" s="1"/>
  <c r="I57" i="83"/>
  <c r="I103" i="83" s="1" a="1"/>
  <c r="I103" i="83" s="1"/>
  <c r="I104" i="83" s="1"/>
  <c r="H66" i="83"/>
  <c r="H191" i="83" s="1"/>
  <c r="I66" i="83"/>
  <c r="I191" i="83" s="1"/>
  <c r="J66" i="83"/>
  <c r="J191" i="83" s="1"/>
  <c r="K66" i="83"/>
  <c r="L66" i="83"/>
  <c r="M66" i="83"/>
  <c r="N66" i="83"/>
  <c r="O66" i="83"/>
  <c r="P66" i="83"/>
  <c r="P191" i="83" s="1"/>
  <c r="Q66" i="83"/>
  <c r="Q191" i="83" s="1"/>
  <c r="B69" i="83"/>
  <c r="B70" i="83"/>
  <c r="B74" i="83"/>
  <c r="B77" i="83"/>
  <c r="K97" i="83" s="1"/>
  <c r="B78" i="83"/>
  <c r="B80" i="83"/>
  <c r="M83" i="83" s="1"/>
  <c r="B81" i="83"/>
  <c r="B82" i="83"/>
  <c r="O82" i="83" s="1"/>
  <c r="I82" i="83"/>
  <c r="K82" i="83"/>
  <c r="M82" i="83"/>
  <c r="N82" i="83"/>
  <c r="N83" i="83" s="1"/>
  <c r="Q82" i="83"/>
  <c r="K83" i="83"/>
  <c r="H97" i="83"/>
  <c r="I97" i="83"/>
  <c r="J97" i="83"/>
  <c r="L97" i="83"/>
  <c r="M97" i="83"/>
  <c r="N97" i="83"/>
  <c r="O97" i="83"/>
  <c r="P97" i="83"/>
  <c r="Q97" i="83"/>
  <c r="N111" i="83"/>
  <c r="P111" i="83"/>
  <c r="Q111" i="83"/>
  <c r="H140" i="83"/>
  <c r="I140" i="83"/>
  <c r="J140" i="83"/>
  <c r="K140" i="83"/>
  <c r="L140" i="83"/>
  <c r="M140" i="83"/>
  <c r="N140" i="83"/>
  <c r="O140" i="83"/>
  <c r="P140" i="83"/>
  <c r="Q140" i="83"/>
  <c r="D147" i="83"/>
  <c r="E147" i="83"/>
  <c r="F147" i="83"/>
  <c r="F165" i="83" s="1"/>
  <c r="F166" i="83" s="1"/>
  <c r="G147" i="83"/>
  <c r="G165" i="83" s="1"/>
  <c r="G166" i="83" s="1"/>
  <c r="D152" i="83"/>
  <c r="E152" i="83"/>
  <c r="F152" i="83"/>
  <c r="G152" i="83"/>
  <c r="H152" i="83"/>
  <c r="I152" i="83"/>
  <c r="J152" i="83"/>
  <c r="K152" i="83"/>
  <c r="L152" i="83"/>
  <c r="M152" i="83"/>
  <c r="N152" i="83"/>
  <c r="O152" i="83"/>
  <c r="P152" i="83"/>
  <c r="Q152" i="83"/>
  <c r="D154" i="83"/>
  <c r="E154" i="83"/>
  <c r="F154" i="83"/>
  <c r="G154" i="83"/>
  <c r="H158" i="83"/>
  <c r="I158" i="83"/>
  <c r="J158" i="83"/>
  <c r="K158" i="83"/>
  <c r="L158" i="83"/>
  <c r="M158" i="83"/>
  <c r="N158" i="83"/>
  <c r="O158" i="83"/>
  <c r="P158" i="83"/>
  <c r="Q158" i="83"/>
  <c r="D165" i="83"/>
  <c r="D166" i="83" s="1"/>
  <c r="E165" i="83"/>
  <c r="E166" i="83" s="1"/>
  <c r="Q171" i="83"/>
  <c r="Q174" i="83"/>
  <c r="H190" i="83"/>
  <c r="I190" i="83"/>
  <c r="J190" i="83"/>
  <c r="K190" i="83"/>
  <c r="L190" i="83"/>
  <c r="M190" i="83"/>
  <c r="N190" i="83"/>
  <c r="O190" i="83"/>
  <c r="P190" i="83"/>
  <c r="Q190" i="83"/>
  <c r="K191" i="83"/>
  <c r="L191" i="83"/>
  <c r="M191" i="83"/>
  <c r="N191" i="83"/>
  <c r="O191" i="83"/>
  <c r="H197" i="83"/>
  <c r="H57" i="83"/>
  <c r="H103" i="83" s="1" a="1"/>
  <c r="H103" i="83" s="1"/>
  <c r="H104" i="83" s="1"/>
  <c r="H58" i="83"/>
  <c r="I58" i="83"/>
  <c r="J58" i="83"/>
  <c r="K58" i="83"/>
  <c r="L58" i="83"/>
  <c r="M58" i="83"/>
  <c r="N58" i="83"/>
  <c r="O58" i="83"/>
  <c r="P58" i="83"/>
  <c r="Q58" i="83"/>
  <c r="H51" i="83"/>
  <c r="H53" i="83" s="1"/>
  <c r="H101" i="83" s="1"/>
  <c r="K51" i="83"/>
  <c r="L51" i="83"/>
  <c r="L53" i="83" s="1"/>
  <c r="L101" i="83" s="1"/>
  <c r="M51" i="83"/>
  <c r="N51" i="83"/>
  <c r="N53" i="83" s="1"/>
  <c r="N101" i="83" s="1"/>
  <c r="O51" i="83"/>
  <c r="P51" i="83"/>
  <c r="P53" i="83" s="1"/>
  <c r="P101" i="83" s="1"/>
  <c r="Q51" i="83"/>
  <c r="Q53" i="83" s="1"/>
  <c r="Q101" i="83" s="1"/>
  <c r="H52" i="83"/>
  <c r="I52" i="83"/>
  <c r="J52" i="83"/>
  <c r="K52" i="83"/>
  <c r="L52" i="83"/>
  <c r="M52" i="83"/>
  <c r="N52" i="83"/>
  <c r="O52" i="83"/>
  <c r="P52" i="83"/>
  <c r="Q52" i="83"/>
  <c r="K53" i="83"/>
  <c r="K101" i="83" s="1"/>
  <c r="M53" i="83"/>
  <c r="M101" i="83" s="1"/>
  <c r="O53" i="83"/>
  <c r="O101" i="83" s="1"/>
  <c r="K44" i="83"/>
  <c r="K46" i="83" s="1"/>
  <c r="H45" i="83"/>
  <c r="I45" i="83"/>
  <c r="J45" i="83"/>
  <c r="K45" i="83"/>
  <c r="L45" i="83"/>
  <c r="M45" i="83"/>
  <c r="N45" i="83"/>
  <c r="O45" i="83"/>
  <c r="P45" i="83"/>
  <c r="Q45" i="83"/>
  <c r="H41" i="83"/>
  <c r="I41" i="83"/>
  <c r="J41" i="83"/>
  <c r="K41" i="83"/>
  <c r="L41" i="83"/>
  <c r="M41" i="83"/>
  <c r="N41" i="83"/>
  <c r="O41" i="83"/>
  <c r="P41" i="83"/>
  <c r="Q41" i="83"/>
  <c r="B23" i="83"/>
  <c r="H24" i="83"/>
  <c r="I24" i="83"/>
  <c r="J24" i="83"/>
  <c r="K24" i="83"/>
  <c r="L24" i="83"/>
  <c r="M24" i="83"/>
  <c r="N24" i="83"/>
  <c r="O24" i="83"/>
  <c r="P24" i="83"/>
  <c r="Q24" i="83"/>
  <c r="B7" i="83"/>
  <c r="H44" i="83" s="1"/>
  <c r="H46" i="83" s="1"/>
  <c r="H66" i="82"/>
  <c r="H191" i="82" s="1"/>
  <c r="I66" i="82"/>
  <c r="I191" i="82" s="1"/>
  <c r="J66" i="82"/>
  <c r="J191" i="82" s="1"/>
  <c r="K66" i="82"/>
  <c r="K191" i="82" s="1"/>
  <c r="L66" i="82"/>
  <c r="L191" i="82" s="1"/>
  <c r="M66" i="82"/>
  <c r="M191" i="82" s="1"/>
  <c r="N66" i="82"/>
  <c r="N191" i="82" s="1"/>
  <c r="O66" i="82"/>
  <c r="O191" i="82" s="1"/>
  <c r="P66" i="82"/>
  <c r="P191" i="82" s="1"/>
  <c r="Q66" i="82"/>
  <c r="Q191" i="82" s="1"/>
  <c r="B69" i="82"/>
  <c r="B77" i="82"/>
  <c r="B78" i="82"/>
  <c r="B80" i="82"/>
  <c r="B81" i="82"/>
  <c r="B82" i="82"/>
  <c r="H82" i="82"/>
  <c r="H83" i="82"/>
  <c r="G83" i="82" s="1"/>
  <c r="F83" i="82" s="1"/>
  <c r="E83" i="82" s="1"/>
  <c r="D83" i="82" s="1"/>
  <c r="H97" i="82"/>
  <c r="I97" i="82"/>
  <c r="J97" i="82"/>
  <c r="K97" i="82"/>
  <c r="L97" i="82"/>
  <c r="M97" i="82"/>
  <c r="N97" i="82"/>
  <c r="O97" i="82"/>
  <c r="P97" i="82"/>
  <c r="Q97" i="82"/>
  <c r="H140" i="82"/>
  <c r="I140" i="82"/>
  <c r="J140" i="82"/>
  <c r="K140" i="82"/>
  <c r="L140" i="82"/>
  <c r="M140" i="82"/>
  <c r="N140" i="82"/>
  <c r="O140" i="82"/>
  <c r="P140" i="82"/>
  <c r="Q140" i="82"/>
  <c r="D147" i="82"/>
  <c r="E147" i="82"/>
  <c r="F147" i="82"/>
  <c r="G147" i="82"/>
  <c r="D152" i="82"/>
  <c r="D154" i="82" s="1"/>
  <c r="D165" i="82" s="1"/>
  <c r="D166" i="82" s="1"/>
  <c r="E152" i="82"/>
  <c r="E154" i="82" s="1"/>
  <c r="F152" i="82"/>
  <c r="G152" i="82"/>
  <c r="H152" i="82"/>
  <c r="I152" i="82"/>
  <c r="J152" i="82"/>
  <c r="K152" i="82"/>
  <c r="L152" i="82"/>
  <c r="M152" i="82"/>
  <c r="N152" i="82"/>
  <c r="O152" i="82"/>
  <c r="P152" i="82"/>
  <c r="Q152" i="82"/>
  <c r="F154" i="82"/>
  <c r="G154" i="82"/>
  <c r="H158" i="82"/>
  <c r="I158" i="82"/>
  <c r="J158" i="82"/>
  <c r="K158" i="82"/>
  <c r="L158" i="82"/>
  <c r="M158" i="82"/>
  <c r="N158" i="82"/>
  <c r="O158" i="82"/>
  <c r="P158" i="82"/>
  <c r="Q158" i="82"/>
  <c r="Q171" i="82"/>
  <c r="Q174" i="82"/>
  <c r="H190" i="82"/>
  <c r="I190" i="82"/>
  <c r="J190" i="82"/>
  <c r="K190" i="82"/>
  <c r="L190" i="82"/>
  <c r="M190" i="82"/>
  <c r="N190" i="82"/>
  <c r="O190" i="82"/>
  <c r="P190" i="82"/>
  <c r="Q190" i="82"/>
  <c r="H197" i="82"/>
  <c r="H57" i="82"/>
  <c r="H143" i="82" s="1" a="1"/>
  <c r="H143" i="82" s="1"/>
  <c r="H144" i="82" s="1"/>
  <c r="H58" i="82"/>
  <c r="I58" i="82"/>
  <c r="J58" i="82"/>
  <c r="K58" i="82"/>
  <c r="L58" i="82"/>
  <c r="M58" i="82"/>
  <c r="N58" i="82"/>
  <c r="O58" i="82"/>
  <c r="P58" i="82"/>
  <c r="Q58" i="82"/>
  <c r="I51" i="82"/>
  <c r="J51" i="82"/>
  <c r="K51" i="82"/>
  <c r="K53" i="82" s="1"/>
  <c r="K101" i="82" s="1"/>
  <c r="L51" i="82"/>
  <c r="M51" i="82"/>
  <c r="N51" i="82"/>
  <c r="O51" i="82"/>
  <c r="P51" i="82"/>
  <c r="P53" i="82" s="1"/>
  <c r="P101" i="82" s="1"/>
  <c r="Q51" i="82"/>
  <c r="Q53" i="82" s="1"/>
  <c r="Q101" i="82" s="1"/>
  <c r="H52" i="82"/>
  <c r="I52" i="82"/>
  <c r="I53" i="82" s="1"/>
  <c r="I101" i="82" s="1"/>
  <c r="J52" i="82"/>
  <c r="K52" i="82"/>
  <c r="L52" i="82"/>
  <c r="M52" i="82"/>
  <c r="N52" i="82"/>
  <c r="O52" i="82"/>
  <c r="O53" i="82" s="1"/>
  <c r="O101" i="82" s="1"/>
  <c r="P52" i="82"/>
  <c r="Q52" i="82"/>
  <c r="L53" i="82"/>
  <c r="L101" i="82" s="1"/>
  <c r="M53" i="82"/>
  <c r="M101" i="82" s="1"/>
  <c r="N53" i="82"/>
  <c r="N101" i="82" s="1"/>
  <c r="H45" i="82"/>
  <c r="I45" i="82"/>
  <c r="J45" i="82"/>
  <c r="K45" i="82"/>
  <c r="L45" i="82"/>
  <c r="M45" i="82"/>
  <c r="N45" i="82"/>
  <c r="O45" i="82"/>
  <c r="P45" i="82"/>
  <c r="Q45" i="82"/>
  <c r="H41" i="82"/>
  <c r="I41" i="82"/>
  <c r="J41" i="82"/>
  <c r="K41" i="82"/>
  <c r="L41" i="82"/>
  <c r="M41" i="82"/>
  <c r="N41" i="82"/>
  <c r="O41" i="82"/>
  <c r="P41" i="82"/>
  <c r="Q41" i="82"/>
  <c r="B23" i="82"/>
  <c r="H24" i="82"/>
  <c r="I24" i="82"/>
  <c r="J24" i="82"/>
  <c r="K24" i="82"/>
  <c r="L24" i="82"/>
  <c r="M24" i="82"/>
  <c r="N24" i="82"/>
  <c r="O24" i="82"/>
  <c r="P24" i="82"/>
  <c r="Q24" i="82"/>
  <c r="B7" i="82"/>
  <c r="O38" i="82" a="1"/>
  <c r="Q38" i="83" a="1"/>
  <c r="O38" i="83" a="1"/>
  <c r="L38" i="82" a="1"/>
  <c r="P38" i="82" a="1"/>
  <c r="N38" i="83" a="1"/>
  <c r="K38" i="82" a="1"/>
  <c r="Q38" i="82" a="1"/>
  <c r="I38" i="82" a="1"/>
  <c r="M38" i="82" a="1"/>
  <c r="J38" i="82" a="1"/>
  <c r="J38" i="83" a="1"/>
  <c r="K38" i="83" a="1"/>
  <c r="P38" i="83" a="1"/>
  <c r="L38" i="83" a="1"/>
  <c r="H38" i="83" a="1"/>
  <c r="N38" i="82" a="1"/>
  <c r="M38" i="83" a="1"/>
  <c r="I38" i="83" a="1"/>
  <c r="H38" i="82" a="1"/>
  <c r="J51" i="83" l="1"/>
  <c r="J53" i="83" s="1"/>
  <c r="J101" i="83" s="1"/>
  <c r="I51" i="83"/>
  <c r="I53" i="83" s="1"/>
  <c r="I101" i="83" s="1"/>
  <c r="J57" i="82"/>
  <c r="J103" i="82" s="1" a="1"/>
  <c r="J103" i="82" s="1"/>
  <c r="J104" i="82" s="1"/>
  <c r="J57" i="83"/>
  <c r="J143" i="83" s="1" a="1"/>
  <c r="J143" i="83" s="1"/>
  <c r="J144" i="83" s="1"/>
  <c r="K57" i="83"/>
  <c r="K57" i="82"/>
  <c r="K143" i="82" s="1" a="1"/>
  <c r="K143" i="82" s="1"/>
  <c r="K144" i="82" s="1"/>
  <c r="J103" i="83" a="1"/>
  <c r="J103" i="83" s="1"/>
  <c r="J104" i="83" s="1"/>
  <c r="J194" i="83" s="1"/>
  <c r="I57" i="82"/>
  <c r="E165" i="82"/>
  <c r="E166" i="82" s="1"/>
  <c r="B71" i="83"/>
  <c r="J44" i="83"/>
  <c r="J46" i="83" s="1"/>
  <c r="N38" i="83"/>
  <c r="H38" i="83"/>
  <c r="J38" i="83"/>
  <c r="P38" i="83"/>
  <c r="K38" i="83"/>
  <c r="Q38" i="83"/>
  <c r="O38" i="83"/>
  <c r="L38" i="83"/>
  <c r="I38" i="83"/>
  <c r="M38" i="83"/>
  <c r="Q193" i="83"/>
  <c r="L83" i="83"/>
  <c r="K193" i="83"/>
  <c r="I44" i="83"/>
  <c r="I46" i="83" s="1"/>
  <c r="O111" i="83"/>
  <c r="I83" i="83"/>
  <c r="L82" i="83"/>
  <c r="P71" i="83"/>
  <c r="P196" i="83" s="1"/>
  <c r="B11" i="83"/>
  <c r="M111" i="83"/>
  <c r="M196" i="83" s="1"/>
  <c r="J82" i="83"/>
  <c r="J83" i="83" s="1"/>
  <c r="N71" i="83"/>
  <c r="N196" i="83" s="1"/>
  <c r="B30" i="83"/>
  <c r="L111" i="83"/>
  <c r="M71" i="83"/>
  <c r="H143" i="83" a="1"/>
  <c r="H143" i="83" s="1"/>
  <c r="H144" i="83" s="1"/>
  <c r="O71" i="83"/>
  <c r="B26" i="83"/>
  <c r="Q44" i="83"/>
  <c r="Q46" i="83" s="1"/>
  <c r="K111" i="83"/>
  <c r="Q83" i="83"/>
  <c r="P171" i="83" s="1"/>
  <c r="H82" i="83"/>
  <c r="H83" i="83" s="1"/>
  <c r="G83" i="83" s="1"/>
  <c r="F83" i="83" s="1"/>
  <c r="E83" i="83" s="1"/>
  <c r="D83" i="83" s="1"/>
  <c r="L71" i="83"/>
  <c r="L193" i="83" s="1"/>
  <c r="P44" i="83"/>
  <c r="P46" i="83" s="1"/>
  <c r="J111" i="83"/>
  <c r="K71" i="83"/>
  <c r="I143" i="83" a="1"/>
  <c r="I143" i="83" s="1"/>
  <c r="I144" i="83" s="1"/>
  <c r="O44" i="83"/>
  <c r="O46" i="83" s="1"/>
  <c r="I111" i="83"/>
  <c r="O83" i="83"/>
  <c r="B83" i="83"/>
  <c r="J71" i="83"/>
  <c r="J193" i="83" s="1"/>
  <c r="N44" i="83"/>
  <c r="N46" i="83" s="1"/>
  <c r="H111" i="83"/>
  <c r="I71" i="83"/>
  <c r="I194" i="83" s="1"/>
  <c r="B39" i="83"/>
  <c r="M44" i="83"/>
  <c r="M46" i="83" s="1"/>
  <c r="P82" i="83"/>
  <c r="P83" i="83" s="1"/>
  <c r="H71" i="83"/>
  <c r="H193" i="83" s="1"/>
  <c r="Q71" i="83"/>
  <c r="B48" i="83"/>
  <c r="L44" i="83"/>
  <c r="L46" i="83" s="1"/>
  <c r="N38" i="82"/>
  <c r="O38" i="82"/>
  <c r="I38" i="82"/>
  <c r="Q38" i="82"/>
  <c r="J38" i="82"/>
  <c r="H38" i="82"/>
  <c r="K38" i="82"/>
  <c r="P38" i="82"/>
  <c r="L38" i="82"/>
  <c r="M38" i="82"/>
  <c r="Q111" i="82"/>
  <c r="O82" i="82"/>
  <c r="O83" i="82" s="1"/>
  <c r="P82" i="82"/>
  <c r="P83" i="82" s="1"/>
  <c r="L82" i="82"/>
  <c r="L83" i="82" s="1"/>
  <c r="B11" i="82"/>
  <c r="B30" i="82"/>
  <c r="N44" i="82"/>
  <c r="N46" i="82" s="1"/>
  <c r="P111" i="82"/>
  <c r="M83" i="82"/>
  <c r="I83" i="82"/>
  <c r="J143" i="82" a="1"/>
  <c r="J143" i="82" s="1"/>
  <c r="J144" i="82" s="1"/>
  <c r="O44" i="82"/>
  <c r="O46" i="82" s="1"/>
  <c r="B39" i="82"/>
  <c r="J44" i="82"/>
  <c r="J46" i="82" s="1"/>
  <c r="G165" i="82"/>
  <c r="G166" i="82" s="1"/>
  <c r="M111" i="82"/>
  <c r="B83" i="82"/>
  <c r="L44" i="82"/>
  <c r="L46" i="82" s="1"/>
  <c r="B48" i="82"/>
  <c r="N111" i="82"/>
  <c r="I44" i="82"/>
  <c r="I46" i="82" s="1"/>
  <c r="F165" i="82"/>
  <c r="F166" i="82" s="1"/>
  <c r="L111" i="82"/>
  <c r="Q82" i="82"/>
  <c r="Q83" i="82" s="1"/>
  <c r="P171" i="82" s="1"/>
  <c r="O171" i="82" s="1"/>
  <c r="N171" i="82" s="1"/>
  <c r="B74" i="82"/>
  <c r="K111" i="82"/>
  <c r="N82" i="82"/>
  <c r="N83" i="82" s="1"/>
  <c r="O111" i="82"/>
  <c r="J111" i="82"/>
  <c r="M82" i="82"/>
  <c r="H103" i="82" a="1"/>
  <c r="H103" i="82" s="1"/>
  <c r="H104" i="82" s="1"/>
  <c r="P44" i="82"/>
  <c r="P46" i="82" s="1"/>
  <c r="K44" i="82"/>
  <c r="K46" i="82" s="1"/>
  <c r="I111" i="82"/>
  <c r="K82" i="82"/>
  <c r="K83" i="82" s="1"/>
  <c r="M44" i="82"/>
  <c r="M46" i="82" s="1"/>
  <c r="J53" i="82"/>
  <c r="J101" i="82" s="1"/>
  <c r="H111" i="82"/>
  <c r="J82" i="82"/>
  <c r="J83" i="82" s="1"/>
  <c r="B70" i="82"/>
  <c r="B71" i="82" s="1"/>
  <c r="B26" i="82"/>
  <c r="H44" i="82"/>
  <c r="H46" i="82" s="1"/>
  <c r="Q44" i="82"/>
  <c r="Q46" i="82" s="1"/>
  <c r="I82" i="82"/>
  <c r="K103" i="82" l="1" a="1"/>
  <c r="K103" i="82" s="1"/>
  <c r="K104" i="82" s="1"/>
  <c r="L57" i="83"/>
  <c r="L57" i="82"/>
  <c r="K143" i="83" a="1"/>
  <c r="K143" i="83" s="1"/>
  <c r="K144" i="83" s="1"/>
  <c r="K103" i="83" a="1"/>
  <c r="K103" i="83" s="1"/>
  <c r="K104" i="83" s="1"/>
  <c r="K194" i="83" s="1"/>
  <c r="I103" i="82" a="1"/>
  <c r="I103" i="82" s="1"/>
  <c r="I104" i="82" s="1"/>
  <c r="I143" i="82" a="1"/>
  <c r="I143" i="82" s="1"/>
  <c r="I144" i="82" s="1"/>
  <c r="N193" i="83"/>
  <c r="I196" i="83"/>
  <c r="I193" i="83"/>
  <c r="Q40" i="83"/>
  <c r="Q42" i="83" s="1"/>
  <c r="L47" i="83"/>
  <c r="K40" i="83"/>
  <c r="K42" i="83" s="1"/>
  <c r="Q196" i="83"/>
  <c r="O47" i="83"/>
  <c r="P189" i="83"/>
  <c r="Q189" i="83"/>
  <c r="L189" i="83"/>
  <c r="N189" i="83"/>
  <c r="O189" i="83"/>
  <c r="H189" i="83"/>
  <c r="I189" i="83"/>
  <c r="B14" i="83"/>
  <c r="J189" i="83"/>
  <c r="K189" i="83"/>
  <c r="M189" i="83"/>
  <c r="O171" i="83"/>
  <c r="N171" i="83" s="1"/>
  <c r="M171" i="83" s="1"/>
  <c r="L171" i="83" s="1"/>
  <c r="K171" i="83" s="1"/>
  <c r="J171" i="83" s="1"/>
  <c r="I171" i="83" s="1"/>
  <c r="H171" i="83" s="1"/>
  <c r="G171" i="83" s="1"/>
  <c r="H194" i="83"/>
  <c r="N40" i="83"/>
  <c r="N42" i="83" s="1"/>
  <c r="L196" i="83"/>
  <c r="O193" i="83"/>
  <c r="M193" i="83"/>
  <c r="N47" i="83"/>
  <c r="K196" i="83"/>
  <c r="P193" i="83"/>
  <c r="M40" i="83"/>
  <c r="M42" i="83" s="1"/>
  <c r="L29" i="83"/>
  <c r="M29" i="83"/>
  <c r="J29" i="83"/>
  <c r="N29" i="83"/>
  <c r="O29" i="83"/>
  <c r="K29" i="83"/>
  <c r="P29" i="83"/>
  <c r="Q29" i="83"/>
  <c r="H29" i="83"/>
  <c r="I29" i="83"/>
  <c r="I40" i="83"/>
  <c r="I42" i="83" s="1"/>
  <c r="J196" i="83"/>
  <c r="O196" i="83"/>
  <c r="L40" i="83"/>
  <c r="L42" i="83" s="1"/>
  <c r="L107" i="83"/>
  <c r="M107" i="83"/>
  <c r="K107" i="83"/>
  <c r="N107" i="83"/>
  <c r="H107" i="83"/>
  <c r="O107" i="83"/>
  <c r="P107" i="83"/>
  <c r="Q107" i="83"/>
  <c r="I107" i="83"/>
  <c r="J107" i="83"/>
  <c r="H196" i="83"/>
  <c r="P40" i="83"/>
  <c r="P42" i="83" s="1"/>
  <c r="J40" i="83"/>
  <c r="J42" i="83" s="1"/>
  <c r="O40" i="83"/>
  <c r="O42" i="83" s="1"/>
  <c r="H40" i="83"/>
  <c r="H42" i="83" s="1"/>
  <c r="N71" i="82"/>
  <c r="N193" i="82" s="1"/>
  <c r="L40" i="82"/>
  <c r="L42" i="82" s="1"/>
  <c r="H71" i="82"/>
  <c r="H194" i="82" s="1"/>
  <c r="M171" i="82"/>
  <c r="L171" i="82" s="1"/>
  <c r="K171" i="82" s="1"/>
  <c r="J171" i="82" s="1"/>
  <c r="I171" i="82" s="1"/>
  <c r="H171" i="82" s="1"/>
  <c r="G171" i="82" s="1"/>
  <c r="F171" i="82" s="1"/>
  <c r="E171" i="82" s="1"/>
  <c r="P189" i="82"/>
  <c r="L189" i="82"/>
  <c r="K189" i="82"/>
  <c r="M189" i="82"/>
  <c r="H189" i="82"/>
  <c r="N189" i="82"/>
  <c r="O189" i="82"/>
  <c r="Q189" i="82"/>
  <c r="B14" i="82"/>
  <c r="I189" i="82"/>
  <c r="J189" i="82"/>
  <c r="K71" i="82"/>
  <c r="K196" i="82" s="1"/>
  <c r="J71" i="82"/>
  <c r="J193" i="82" s="1"/>
  <c r="G172" i="82"/>
  <c r="I71" i="82"/>
  <c r="M40" i="82"/>
  <c r="M42" i="82" s="1"/>
  <c r="L107" i="82"/>
  <c r="M107" i="82"/>
  <c r="H107" i="82"/>
  <c r="I107" i="82"/>
  <c r="P107" i="82"/>
  <c r="J107" i="82"/>
  <c r="K107" i="82"/>
  <c r="N107" i="82"/>
  <c r="Q107" i="82"/>
  <c r="O107" i="82"/>
  <c r="L71" i="82"/>
  <c r="L196" i="82" s="1"/>
  <c r="M71" i="82"/>
  <c r="M196" i="82" s="1"/>
  <c r="O71" i="82"/>
  <c r="O196" i="82" s="1"/>
  <c r="P40" i="82"/>
  <c r="P42" i="82" s="1"/>
  <c r="K40" i="82"/>
  <c r="K42" i="82" s="1"/>
  <c r="H40" i="82"/>
  <c r="H42" i="82" s="1"/>
  <c r="Q71" i="82"/>
  <c r="Q196" i="82" s="1"/>
  <c r="J40" i="82"/>
  <c r="J42" i="82" s="1"/>
  <c r="Q40" i="82"/>
  <c r="Q42" i="82" s="1"/>
  <c r="I40" i="82"/>
  <c r="I42" i="82" s="1"/>
  <c r="L29" i="82"/>
  <c r="L47" i="82" s="1"/>
  <c r="H29" i="82"/>
  <c r="H47" i="82" s="1"/>
  <c r="M29" i="82"/>
  <c r="M47" i="82" s="1"/>
  <c r="I29" i="82"/>
  <c r="J29" i="82"/>
  <c r="J47" i="82" s="1"/>
  <c r="K29" i="82"/>
  <c r="K47" i="82" s="1"/>
  <c r="P29" i="82"/>
  <c r="Q29" i="82"/>
  <c r="N29" i="82"/>
  <c r="N47" i="82" s="1"/>
  <c r="O29" i="82"/>
  <c r="O47" i="82" s="1"/>
  <c r="O40" i="82"/>
  <c r="O42" i="82" s="1"/>
  <c r="P71" i="82"/>
  <c r="N40" i="82"/>
  <c r="N42" i="82" s="1"/>
  <c r="L143" i="82" l="1" a="1"/>
  <c r="L143" i="82" s="1"/>
  <c r="L144" i="82" s="1"/>
  <c r="L150" i="82" s="1"/>
  <c r="L103" i="82" a="1"/>
  <c r="L103" i="82" s="1"/>
  <c r="L104" i="82" s="1"/>
  <c r="L194" i="82" s="1"/>
  <c r="L103" i="83" a="1"/>
  <c r="L103" i="83" s="1"/>
  <c r="L104" i="83" s="1"/>
  <c r="L194" i="83" s="1"/>
  <c r="L143" i="83" a="1"/>
  <c r="L143" i="83" s="1"/>
  <c r="L144" i="83" s="1"/>
  <c r="L150" i="83" s="1"/>
  <c r="M57" i="83"/>
  <c r="M57" i="82"/>
  <c r="N196" i="82"/>
  <c r="H196" i="82"/>
  <c r="L147" i="83"/>
  <c r="L151" i="83"/>
  <c r="L153" i="83"/>
  <c r="L31" i="83"/>
  <c r="M31" i="83"/>
  <c r="M153" i="83"/>
  <c r="M151" i="83"/>
  <c r="I31" i="83"/>
  <c r="I153" i="83"/>
  <c r="I151" i="83"/>
  <c r="I150" i="83"/>
  <c r="H150" i="83"/>
  <c r="H153" i="83"/>
  <c r="H31" i="83"/>
  <c r="H151" i="83"/>
  <c r="H47" i="83"/>
  <c r="H147" i="83" s="1"/>
  <c r="F171" i="83"/>
  <c r="G172" i="83"/>
  <c r="Q153" i="83"/>
  <c r="Q31" i="83"/>
  <c r="Q151" i="83"/>
  <c r="O147" i="83"/>
  <c r="Q47" i="83"/>
  <c r="Q147" i="83" s="1"/>
  <c r="P153" i="83"/>
  <c r="P31" i="83"/>
  <c r="P151" i="83"/>
  <c r="K31" i="83"/>
  <c r="K150" i="83"/>
  <c r="K153" i="83"/>
  <c r="K47" i="83"/>
  <c r="K147" i="83" s="1"/>
  <c r="K151" i="83"/>
  <c r="I47" i="83"/>
  <c r="I147" i="83" s="1"/>
  <c r="O153" i="83"/>
  <c r="O31" i="83"/>
  <c r="O151" i="83"/>
  <c r="N147" i="83"/>
  <c r="N153" i="83"/>
  <c r="N31" i="83"/>
  <c r="N151" i="83"/>
  <c r="P47" i="83"/>
  <c r="P147" i="83" s="1"/>
  <c r="M47" i="83"/>
  <c r="M147" i="83" s="1"/>
  <c r="J153" i="83"/>
  <c r="J151" i="83"/>
  <c r="J31" i="83"/>
  <c r="J150" i="83"/>
  <c r="J47" i="83"/>
  <c r="J147" i="83" s="1"/>
  <c r="L147" i="82"/>
  <c r="L159" i="82" s="1"/>
  <c r="H147" i="82"/>
  <c r="H159" i="82" s="1"/>
  <c r="H193" i="82"/>
  <c r="K147" i="82"/>
  <c r="K159" i="82" s="1"/>
  <c r="O147" i="82"/>
  <c r="O159" i="82" s="1"/>
  <c r="N147" i="82"/>
  <c r="N159" i="82" s="1"/>
  <c r="J147" i="82"/>
  <c r="J159" i="82" s="1"/>
  <c r="M147" i="82"/>
  <c r="M159" i="82" s="1"/>
  <c r="Q153" i="82"/>
  <c r="Q31" i="82"/>
  <c r="Q151" i="82"/>
  <c r="P153" i="82"/>
  <c r="P31" i="82"/>
  <c r="P151" i="82"/>
  <c r="P193" i="82"/>
  <c r="I31" i="82"/>
  <c r="I153" i="82"/>
  <c r="I150" i="82"/>
  <c r="I151" i="82"/>
  <c r="J194" i="82"/>
  <c r="M31" i="82"/>
  <c r="M153" i="82"/>
  <c r="M151" i="82"/>
  <c r="P196" i="82"/>
  <c r="K193" i="82"/>
  <c r="H31" i="82"/>
  <c r="H153" i="82"/>
  <c r="H150" i="82"/>
  <c r="H151" i="82"/>
  <c r="D171" i="82"/>
  <c r="D172" i="82" s="1"/>
  <c r="E172" i="82"/>
  <c r="I194" i="82"/>
  <c r="I193" i="82"/>
  <c r="Q193" i="82"/>
  <c r="K153" i="82"/>
  <c r="K31" i="82"/>
  <c r="K151" i="82"/>
  <c r="K150" i="82"/>
  <c r="K154" i="82" s="1"/>
  <c r="K194" i="82"/>
  <c r="I196" i="82"/>
  <c r="M193" i="82"/>
  <c r="P47" i="82"/>
  <c r="P147" i="82" s="1"/>
  <c r="J31" i="82"/>
  <c r="J153" i="82"/>
  <c r="J151" i="82"/>
  <c r="J150" i="82"/>
  <c r="L153" i="82"/>
  <c r="L31" i="82"/>
  <c r="L151" i="82"/>
  <c r="Q47" i="82"/>
  <c r="Q147" i="82" s="1"/>
  <c r="J196" i="82"/>
  <c r="O193" i="82"/>
  <c r="O153" i="82"/>
  <c r="O31" i="82"/>
  <c r="O151" i="82"/>
  <c r="L193" i="82"/>
  <c r="N153" i="82"/>
  <c r="N31" i="82"/>
  <c r="N151" i="82"/>
  <c r="I47" i="82"/>
  <c r="I147" i="82" s="1"/>
  <c r="F172" i="82"/>
  <c r="N57" i="82" l="1"/>
  <c r="N57" i="83"/>
  <c r="M103" i="82" a="1"/>
  <c r="M103" i="82" s="1"/>
  <c r="M104" i="82" s="1"/>
  <c r="M194" i="82" s="1"/>
  <c r="M143" i="82" a="1"/>
  <c r="M143" i="82" s="1"/>
  <c r="M144" i="82" s="1"/>
  <c r="M150" i="82" s="1"/>
  <c r="M154" i="82" s="1"/>
  <c r="M103" i="83" a="1"/>
  <c r="M103" i="83" s="1"/>
  <c r="M104" i="83" s="1"/>
  <c r="M194" i="83" s="1"/>
  <c r="M143" i="83" a="1"/>
  <c r="M143" i="83" s="1"/>
  <c r="M144" i="83" s="1"/>
  <c r="M150" i="83" s="1"/>
  <c r="M154" i="83" s="1"/>
  <c r="L154" i="83"/>
  <c r="K154" i="83"/>
  <c r="N159" i="83"/>
  <c r="I159" i="83"/>
  <c r="M159" i="83"/>
  <c r="P159" i="83"/>
  <c r="K159" i="83"/>
  <c r="Q199" i="83"/>
  <c r="Q106" i="83"/>
  <c r="Q108" i="83" s="1"/>
  <c r="Q109" i="83" s="1"/>
  <c r="I199" i="83"/>
  <c r="I106" i="83"/>
  <c r="I108" i="83" s="1"/>
  <c r="I109" i="83" s="1"/>
  <c r="N199" i="83"/>
  <c r="N106" i="83"/>
  <c r="N108" i="83" s="1"/>
  <c r="N109" i="83" s="1"/>
  <c r="K199" i="83"/>
  <c r="K106" i="83"/>
  <c r="K108" i="83" s="1"/>
  <c r="K109" i="83" s="1"/>
  <c r="E171" i="83"/>
  <c r="F172" i="83"/>
  <c r="H159" i="83"/>
  <c r="M199" i="83"/>
  <c r="M106" i="83"/>
  <c r="M108" i="83" s="1"/>
  <c r="M109" i="83" s="1"/>
  <c r="H199" i="83"/>
  <c r="H106" i="83"/>
  <c r="H108" i="83" s="1"/>
  <c r="H109" i="83" s="1"/>
  <c r="J199" i="83"/>
  <c r="J106" i="83"/>
  <c r="J108" i="83" s="1"/>
  <c r="J109" i="83" s="1"/>
  <c r="O199" i="83"/>
  <c r="O106" i="83"/>
  <c r="O108" i="83" s="1"/>
  <c r="O109" i="83" s="1"/>
  <c r="Q159" i="83"/>
  <c r="H154" i="83"/>
  <c r="J159" i="83"/>
  <c r="P199" i="83"/>
  <c r="P106" i="83"/>
  <c r="P108" i="83" s="1"/>
  <c r="P109" i="83" s="1"/>
  <c r="L199" i="83"/>
  <c r="L106" i="83"/>
  <c r="L108" i="83" s="1"/>
  <c r="L109" i="83" s="1"/>
  <c r="J154" i="83"/>
  <c r="O159" i="83"/>
  <c r="I154" i="83"/>
  <c r="L159" i="83"/>
  <c r="L160" i="83" s="1"/>
  <c r="L161" i="83" s="1"/>
  <c r="L165" i="83" s="1"/>
  <c r="K160" i="82"/>
  <c r="K161" i="82" s="1"/>
  <c r="K165" i="82" s="1"/>
  <c r="I154" i="82"/>
  <c r="J154" i="82"/>
  <c r="J160" i="82" s="1"/>
  <c r="J161" i="82" s="1"/>
  <c r="J165" i="82" s="1"/>
  <c r="P159" i="82"/>
  <c r="I199" i="82"/>
  <c r="I106" i="82"/>
  <c r="I108" i="82" s="1"/>
  <c r="I109" i="82" s="1"/>
  <c r="Q199" i="82"/>
  <c r="Q106" i="82"/>
  <c r="Q108" i="82" s="1"/>
  <c r="Q109" i="82" s="1"/>
  <c r="N199" i="82"/>
  <c r="N106" i="82"/>
  <c r="N108" i="82" s="1"/>
  <c r="N109" i="82" s="1"/>
  <c r="Q159" i="82"/>
  <c r="I159" i="82"/>
  <c r="L154" i="82"/>
  <c r="L199" i="82"/>
  <c r="L106" i="82"/>
  <c r="L108" i="82" s="1"/>
  <c r="L109" i="82" s="1"/>
  <c r="M199" i="82"/>
  <c r="M106" i="82"/>
  <c r="M108" i="82" s="1"/>
  <c r="M109" i="82" s="1"/>
  <c r="P199" i="82"/>
  <c r="P106" i="82"/>
  <c r="P108" i="82" s="1"/>
  <c r="P109" i="82" s="1"/>
  <c r="O199" i="82"/>
  <c r="O106" i="82"/>
  <c r="O108" i="82" s="1"/>
  <c r="O109" i="82" s="1"/>
  <c r="H154" i="82"/>
  <c r="K199" i="82"/>
  <c r="K106" i="82"/>
  <c r="K108" i="82" s="1"/>
  <c r="K109" i="82" s="1"/>
  <c r="J199" i="82"/>
  <c r="J106" i="82"/>
  <c r="J108" i="82" s="1"/>
  <c r="J109" i="82" s="1"/>
  <c r="H199" i="82"/>
  <c r="H106" i="82"/>
  <c r="H108" i="82" s="1"/>
  <c r="H109" i="82" s="1"/>
  <c r="K160" i="83" l="1"/>
  <c r="K161" i="83" s="1"/>
  <c r="K165" i="83" s="1"/>
  <c r="O57" i="83"/>
  <c r="O57" i="82"/>
  <c r="N103" i="83" a="1"/>
  <c r="N103" i="83" s="1"/>
  <c r="N104" i="83" s="1"/>
  <c r="N194" i="83" s="1"/>
  <c r="N143" i="83" a="1"/>
  <c r="N143" i="83" s="1"/>
  <c r="N144" i="83" s="1"/>
  <c r="N150" i="83" s="1"/>
  <c r="N154" i="83" s="1"/>
  <c r="N160" i="83" s="1"/>
  <c r="N161" i="83" s="1"/>
  <c r="N165" i="83" s="1"/>
  <c r="N103" i="82" a="1"/>
  <c r="N103" i="82" s="1"/>
  <c r="N104" i="82" s="1"/>
  <c r="N194" i="82" s="1"/>
  <c r="N143" i="82" a="1"/>
  <c r="N143" i="82" s="1"/>
  <c r="N144" i="82" s="1"/>
  <c r="N150" i="82" s="1"/>
  <c r="N154" i="82" s="1"/>
  <c r="N160" i="82" s="1"/>
  <c r="N161" i="82" s="1"/>
  <c r="N165" i="82" s="1"/>
  <c r="I160" i="82"/>
  <c r="I161" i="82" s="1"/>
  <c r="I165" i="82" s="1"/>
  <c r="I160" i="83"/>
  <c r="I161" i="83" s="1"/>
  <c r="I165" i="83" s="1"/>
  <c r="M160" i="83"/>
  <c r="M161" i="83" s="1"/>
  <c r="M165" i="83" s="1"/>
  <c r="H160" i="83"/>
  <c r="H161" i="83" s="1"/>
  <c r="H165" i="83" s="1"/>
  <c r="N195" i="83"/>
  <c r="J160" i="83"/>
  <c r="J161" i="83" s="1"/>
  <c r="J165" i="83" s="1"/>
  <c r="M195" i="83"/>
  <c r="M113" i="83"/>
  <c r="M114" i="83" s="1"/>
  <c r="O195" i="83"/>
  <c r="L195" i="83"/>
  <c r="L113" i="83"/>
  <c r="L114" i="83" s="1"/>
  <c r="P195" i="83"/>
  <c r="J195" i="83"/>
  <c r="J113" i="83"/>
  <c r="J114" i="83" s="1"/>
  <c r="I195" i="83"/>
  <c r="I113" i="83"/>
  <c r="I114" i="83" s="1"/>
  <c r="D171" i="83"/>
  <c r="D172" i="83" s="1"/>
  <c r="E172" i="83"/>
  <c r="H195" i="83"/>
  <c r="H113" i="83"/>
  <c r="H114" i="83" s="1"/>
  <c r="H117" i="83" s="1"/>
  <c r="K195" i="83"/>
  <c r="K113" i="83"/>
  <c r="K114" i="83" s="1"/>
  <c r="Q195" i="83"/>
  <c r="H195" i="82"/>
  <c r="H113" i="82"/>
  <c r="H114" i="82" s="1"/>
  <c r="H117" i="82" s="1"/>
  <c r="M160" i="82"/>
  <c r="M161" i="82" s="1"/>
  <c r="M165" i="82" s="1"/>
  <c r="K195" i="82"/>
  <c r="K113" i="82"/>
  <c r="K114" i="82" s="1"/>
  <c r="L195" i="82"/>
  <c r="L113" i="82"/>
  <c r="L114" i="82" s="1"/>
  <c r="L160" i="82"/>
  <c r="L161" i="82" s="1"/>
  <c r="L165" i="82" s="1"/>
  <c r="Q195" i="82"/>
  <c r="M195" i="82"/>
  <c r="M113" i="82"/>
  <c r="M114" i="82" s="1"/>
  <c r="H160" i="82"/>
  <c r="H161" i="82" s="1"/>
  <c r="H165" i="82" s="1"/>
  <c r="O195" i="82"/>
  <c r="P195" i="82"/>
  <c r="J195" i="82"/>
  <c r="J113" i="82"/>
  <c r="J114" i="82" s="1"/>
  <c r="I195" i="82"/>
  <c r="I113" i="82"/>
  <c r="I114" i="82" s="1"/>
  <c r="N195" i="82"/>
  <c r="N113" i="83" l="1"/>
  <c r="N114" i="83" s="1"/>
  <c r="P57" i="83"/>
  <c r="P57" i="82"/>
  <c r="O103" i="83" a="1"/>
  <c r="O103" i="83" s="1"/>
  <c r="O104" i="83" s="1"/>
  <c r="O143" i="83" a="1"/>
  <c r="O143" i="83" s="1"/>
  <c r="O144" i="83" s="1"/>
  <c r="O150" i="83" s="1"/>
  <c r="O154" i="83" s="1"/>
  <c r="O160" i="83" s="1"/>
  <c r="O161" i="83" s="1"/>
  <c r="O165" i="83" s="1"/>
  <c r="O103" i="82" a="1"/>
  <c r="O103" i="82" s="1"/>
  <c r="O104" i="82" s="1"/>
  <c r="O143" i="82" a="1"/>
  <c r="O143" i="82" s="1"/>
  <c r="O144" i="82" s="1"/>
  <c r="O150" i="82" s="1"/>
  <c r="O154" i="82" s="1"/>
  <c r="N113" i="82"/>
  <c r="N114" i="82" s="1"/>
  <c r="H121" i="83"/>
  <c r="H125" i="83" s="1"/>
  <c r="H126" i="83" s="1"/>
  <c r="I116" i="83"/>
  <c r="I197" i="83" s="1"/>
  <c r="H192" i="83"/>
  <c r="H192" i="82"/>
  <c r="I116" i="82"/>
  <c r="I197" i="82" s="1"/>
  <c r="H121" i="82"/>
  <c r="H125" i="82" s="1"/>
  <c r="H126" i="82" s="1"/>
  <c r="O160" i="82" l="1"/>
  <c r="O161" i="82" s="1"/>
  <c r="O165" i="82" s="1"/>
  <c r="O194" i="83"/>
  <c r="O113" i="83"/>
  <c r="O114" i="83" s="1"/>
  <c r="P143" i="82" a="1"/>
  <c r="P143" i="82" s="1"/>
  <c r="P144" i="82" s="1"/>
  <c r="P150" i="82" s="1"/>
  <c r="P154" i="82" s="1"/>
  <c r="P160" i="82" s="1"/>
  <c r="P161" i="82" s="1"/>
  <c r="P165" i="82" s="1"/>
  <c r="P103" i="82" a="1"/>
  <c r="P103" i="82" s="1"/>
  <c r="P104" i="82" s="1"/>
  <c r="Q57" i="83"/>
  <c r="Q57" i="82"/>
  <c r="O194" i="82"/>
  <c r="O113" i="82"/>
  <c r="O114" i="82" s="1"/>
  <c r="P143" i="83" a="1"/>
  <c r="P143" i="83" s="1"/>
  <c r="P144" i="83" s="1"/>
  <c r="P150" i="83" s="1"/>
  <c r="P154" i="83" s="1"/>
  <c r="P160" i="83" s="1"/>
  <c r="P161" i="83" s="1"/>
  <c r="P165" i="83" s="1"/>
  <c r="P103" i="83" a="1"/>
  <c r="P103" i="83" s="1"/>
  <c r="P104" i="83" s="1"/>
  <c r="I117" i="83"/>
  <c r="I121" i="83" s="1"/>
  <c r="I125" i="83" s="1"/>
  <c r="I126" i="83" s="1"/>
  <c r="H198" i="83"/>
  <c r="H87" i="83"/>
  <c r="H166" i="83" s="1"/>
  <c r="H172" i="83" s="1"/>
  <c r="H87" i="82"/>
  <c r="H166" i="82" s="1"/>
  <c r="H172" i="82" s="1"/>
  <c r="H198" i="82"/>
  <c r="I117" i="82"/>
  <c r="Q103" i="82" l="1" a="1"/>
  <c r="Q103" i="82" s="1"/>
  <c r="Q104" i="82" s="1"/>
  <c r="Q143" i="82" a="1"/>
  <c r="Q143" i="82" s="1"/>
  <c r="Q144" i="82" s="1"/>
  <c r="Q150" i="82" s="1"/>
  <c r="Q154" i="82" s="1"/>
  <c r="Q160" i="82" s="1"/>
  <c r="Q161" i="82" s="1"/>
  <c r="Q165" i="82" s="1"/>
  <c r="Q143" i="83" a="1"/>
  <c r="Q143" i="83" s="1"/>
  <c r="Q144" i="83" s="1"/>
  <c r="Q150" i="83" s="1"/>
  <c r="Q154" i="83" s="1"/>
  <c r="Q160" i="83" s="1"/>
  <c r="Q161" i="83" s="1"/>
  <c r="Q165" i="83" s="1"/>
  <c r="Q103" i="83" a="1"/>
  <c r="Q103" i="83" s="1"/>
  <c r="Q104" i="83" s="1"/>
  <c r="P194" i="83"/>
  <c r="P113" i="83"/>
  <c r="P114" i="83" s="1"/>
  <c r="P194" i="82"/>
  <c r="P113" i="82"/>
  <c r="P114" i="82" s="1"/>
  <c r="J116" i="83"/>
  <c r="J197" i="83" s="1"/>
  <c r="I192" i="83"/>
  <c r="I198" i="83"/>
  <c r="I87" i="83"/>
  <c r="I166" i="83" s="1"/>
  <c r="I172" i="83" s="1"/>
  <c r="I192" i="82"/>
  <c r="I121" i="82"/>
  <c r="I125" i="82" s="1"/>
  <c r="I126" i="82" s="1"/>
  <c r="J116" i="82"/>
  <c r="Q194" i="83" l="1"/>
  <c r="Q113" i="83"/>
  <c r="Q114" i="83" s="1"/>
  <c r="Q194" i="82"/>
  <c r="Q113" i="82"/>
  <c r="Q114" i="82" s="1"/>
  <c r="J117" i="83"/>
  <c r="J192" i="83" s="1"/>
  <c r="J197" i="82"/>
  <c r="J117" i="82"/>
  <c r="I198" i="82"/>
  <c r="I87" i="82"/>
  <c r="I166" i="82" s="1"/>
  <c r="I172" i="82" s="1"/>
  <c r="K116" i="83" l="1"/>
  <c r="K197" i="83" s="1"/>
  <c r="J121" i="83"/>
  <c r="J125" i="83" s="1"/>
  <c r="J126" i="83" s="1"/>
  <c r="J87" i="83" s="1"/>
  <c r="J166" i="83" s="1"/>
  <c r="J172" i="83" s="1"/>
  <c r="J192" i="82"/>
  <c r="J121" i="82"/>
  <c r="J125" i="82" s="1"/>
  <c r="J126" i="82" s="1"/>
  <c r="K116" i="82"/>
  <c r="K117" i="83" l="1"/>
  <c r="L116" i="83" s="1"/>
  <c r="J198" i="83"/>
  <c r="K197" i="82"/>
  <c r="K117" i="82"/>
  <c r="J198" i="82"/>
  <c r="J87" i="82"/>
  <c r="J166" i="82" s="1"/>
  <c r="J172" i="82" s="1"/>
  <c r="K121" i="83" l="1"/>
  <c r="K125" i="83" s="1"/>
  <c r="K126" i="83" s="1"/>
  <c r="K198" i="83" s="1"/>
  <c r="K192" i="83"/>
  <c r="L197" i="83"/>
  <c r="L117" i="83"/>
  <c r="K192" i="82"/>
  <c r="L116" i="82"/>
  <c r="K121" i="82"/>
  <c r="K125" i="82" s="1"/>
  <c r="K126" i="82" s="1"/>
  <c r="K87" i="83" l="1"/>
  <c r="K166" i="83" s="1"/>
  <c r="K172" i="83" s="1"/>
  <c r="M116" i="83"/>
  <c r="L192" i="83"/>
  <c r="L121" i="83"/>
  <c r="L125" i="83" s="1"/>
  <c r="L126" i="83" s="1"/>
  <c r="K87" i="82"/>
  <c r="K166" i="82" s="1"/>
  <c r="K172" i="82" s="1"/>
  <c r="K198" i="82"/>
  <c r="L197" i="82"/>
  <c r="L117" i="82"/>
  <c r="L198" i="83" l="1"/>
  <c r="L87" i="83"/>
  <c r="L166" i="83" s="1"/>
  <c r="L172" i="83" s="1"/>
  <c r="M197" i="83"/>
  <c r="M117" i="83"/>
  <c r="M116" i="82"/>
  <c r="L192" i="82"/>
  <c r="L121" i="82"/>
  <c r="L125" i="82" s="1"/>
  <c r="L126" i="82" s="1"/>
  <c r="N116" i="83" l="1"/>
  <c r="M192" i="83"/>
  <c r="M121" i="83"/>
  <c r="M125" i="83" s="1"/>
  <c r="M126" i="83" s="1"/>
  <c r="L198" i="82"/>
  <c r="L87" i="82"/>
  <c r="L166" i="82" s="1"/>
  <c r="L172" i="82" s="1"/>
  <c r="M197" i="82"/>
  <c r="M117" i="82"/>
  <c r="M198" i="83" l="1"/>
  <c r="M87" i="83"/>
  <c r="M166" i="83" s="1"/>
  <c r="M172" i="83" s="1"/>
  <c r="N197" i="83"/>
  <c r="N117" i="83"/>
  <c r="N116" i="82"/>
  <c r="M121" i="82"/>
  <c r="M125" i="82" s="1"/>
  <c r="M126" i="82" s="1"/>
  <c r="M192" i="82"/>
  <c r="F154" i="78"/>
  <c r="J158" i="78"/>
  <c r="H158" i="78"/>
  <c r="L158" i="78"/>
  <c r="Q174" i="78"/>
  <c r="H58" i="78"/>
  <c r="G152" i="78"/>
  <c r="G154" i="78" s="1"/>
  <c r="D147" i="78"/>
  <c r="E147" i="78"/>
  <c r="F147" i="78"/>
  <c r="H197" i="78"/>
  <c r="Q190" i="78"/>
  <c r="P190" i="78"/>
  <c r="O190" i="78"/>
  <c r="N190" i="78"/>
  <c r="M190" i="78"/>
  <c r="L190" i="78"/>
  <c r="K190" i="78"/>
  <c r="J190" i="78"/>
  <c r="I190" i="78"/>
  <c r="H190" i="78"/>
  <c r="Q171" i="78"/>
  <c r="O158" i="78"/>
  <c r="N158" i="78"/>
  <c r="M158" i="78"/>
  <c r="K158" i="78"/>
  <c r="Q152" i="78"/>
  <c r="P152" i="78"/>
  <c r="O152" i="78"/>
  <c r="N152" i="78"/>
  <c r="M152" i="78"/>
  <c r="L152" i="78"/>
  <c r="K152" i="78"/>
  <c r="J152" i="78"/>
  <c r="I152" i="78"/>
  <c r="H152" i="78"/>
  <c r="F152" i="78"/>
  <c r="E152" i="78"/>
  <c r="E154" i="78" s="1"/>
  <c r="D152" i="78"/>
  <c r="D154" i="78" s="1"/>
  <c r="B82" i="78"/>
  <c r="K82" i="78" s="1"/>
  <c r="B81" i="78"/>
  <c r="B80" i="78"/>
  <c r="B78" i="78"/>
  <c r="B77" i="78"/>
  <c r="P140" i="78" s="1"/>
  <c r="B69" i="78"/>
  <c r="J66" i="78"/>
  <c r="J191" i="78" s="1"/>
  <c r="I66" i="78"/>
  <c r="I191" i="78" s="1"/>
  <c r="H66" i="78"/>
  <c r="H191" i="78" s="1"/>
  <c r="Q58" i="78"/>
  <c r="P58" i="78"/>
  <c r="O58" i="78"/>
  <c r="N58" i="78"/>
  <c r="M58" i="78"/>
  <c r="L58" i="78"/>
  <c r="K58" i="78"/>
  <c r="J58" i="78"/>
  <c r="I58" i="78"/>
  <c r="Q57" i="78"/>
  <c r="P57" i="78"/>
  <c r="O57" i="78"/>
  <c r="N57" i="78"/>
  <c r="M57" i="78"/>
  <c r="L57" i="78"/>
  <c r="K57" i="78"/>
  <c r="Q52" i="78"/>
  <c r="P52" i="78"/>
  <c r="O52" i="78"/>
  <c r="N52" i="78"/>
  <c r="L52" i="78"/>
  <c r="K52" i="78"/>
  <c r="P51" i="78"/>
  <c r="O51" i="78"/>
  <c r="N51" i="78"/>
  <c r="M51" i="78"/>
  <c r="L51" i="78"/>
  <c r="Q45" i="78"/>
  <c r="P45" i="78"/>
  <c r="N41" i="78"/>
  <c r="M41" i="78"/>
  <c r="L41" i="78"/>
  <c r="K41" i="78"/>
  <c r="Q24" i="78"/>
  <c r="P24" i="78"/>
  <c r="O24" i="78"/>
  <c r="N24" i="78"/>
  <c r="M24" i="78"/>
  <c r="L24" i="78"/>
  <c r="K24" i="78"/>
  <c r="J24" i="78"/>
  <c r="I24" i="78"/>
  <c r="H24" i="78"/>
  <c r="B23" i="78"/>
  <c r="B7" i="78"/>
  <c r="I44" i="78" s="1"/>
  <c r="A10" i="46"/>
  <c r="A11" i="46"/>
  <c r="A12" i="46"/>
  <c r="A13" i="46"/>
  <c r="A14" i="46"/>
  <c r="A15" i="46"/>
  <c r="A9" i="46"/>
  <c r="B16" i="47"/>
  <c r="C34" i="46"/>
  <c r="D34" i="46" s="1"/>
  <c r="E34" i="46" s="1"/>
  <c r="F34" i="46" s="1"/>
  <c r="G34" i="46" s="1"/>
  <c r="H34" i="46" s="1"/>
  <c r="I34" i="46" s="1"/>
  <c r="J34" i="46" s="1"/>
  <c r="K34" i="46" s="1"/>
  <c r="L34" i="46" s="1"/>
  <c r="C32" i="46"/>
  <c r="C33" i="46"/>
  <c r="D33" i="46" s="1"/>
  <c r="E33" i="46" s="1"/>
  <c r="F33" i="46" s="1"/>
  <c r="G33" i="46" s="1"/>
  <c r="H33" i="46" s="1"/>
  <c r="I33" i="46" s="1"/>
  <c r="J33" i="46" s="1"/>
  <c r="K33" i="46" s="1"/>
  <c r="L33" i="46" s="1"/>
  <c r="L26" i="46"/>
  <c r="K26" i="46"/>
  <c r="J26" i="46"/>
  <c r="I26" i="46"/>
  <c r="H26" i="46"/>
  <c r="G26" i="46"/>
  <c r="F26" i="46"/>
  <c r="I51" i="78"/>
  <c r="H51" i="78"/>
  <c r="L31" i="46"/>
  <c r="K31" i="46"/>
  <c r="J31" i="46"/>
  <c r="I31" i="46"/>
  <c r="H31" i="46"/>
  <c r="G31" i="46"/>
  <c r="F31" i="46"/>
  <c r="E31" i="46"/>
  <c r="D31" i="46"/>
  <c r="C31" i="46"/>
  <c r="L30" i="46"/>
  <c r="K30" i="46"/>
  <c r="J30" i="46"/>
  <c r="I30" i="46"/>
  <c r="H30" i="46"/>
  <c r="G30" i="46"/>
  <c r="A33" i="46"/>
  <c r="A34" i="46"/>
  <c r="A32" i="46"/>
  <c r="D32" i="46"/>
  <c r="E32" i="46" s="1"/>
  <c r="F32" i="46" s="1"/>
  <c r="G32" i="46" s="1"/>
  <c r="H32" i="46" s="1"/>
  <c r="I32" i="46" s="1"/>
  <c r="J32" i="46" s="1"/>
  <c r="K32" i="46" s="1"/>
  <c r="L32" i="46" s="1"/>
  <c r="C27" i="46"/>
  <c r="D27" i="46" s="1"/>
  <c r="E27" i="46" s="1"/>
  <c r="F27" i="46" s="1"/>
  <c r="G27" i="46" s="1"/>
  <c r="H27" i="46" s="1"/>
  <c r="I27" i="46" s="1"/>
  <c r="J27" i="46" s="1"/>
  <c r="K27" i="46" s="1"/>
  <c r="L27" i="46" s="1"/>
  <c r="C35" i="46"/>
  <c r="D35" i="46" s="1"/>
  <c r="E35" i="46" s="1"/>
  <c r="F35" i="46" s="1"/>
  <c r="G35" i="46" s="1"/>
  <c r="H35" i="46" s="1"/>
  <c r="I35" i="46" s="1"/>
  <c r="J35" i="46" s="1"/>
  <c r="K35" i="46" s="1"/>
  <c r="L35" i="46" s="1"/>
  <c r="N9" i="46"/>
  <c r="G10" i="46"/>
  <c r="G11" i="46"/>
  <c r="G12" i="46"/>
  <c r="G13" i="46"/>
  <c r="G14" i="46"/>
  <c r="G15" i="46"/>
  <c r="G9" i="46"/>
  <c r="P13" i="46"/>
  <c r="P14" i="46"/>
  <c r="P15" i="46"/>
  <c r="P10" i="46"/>
  <c r="P11" i="46"/>
  <c r="P12" i="46"/>
  <c r="P9" i="46"/>
  <c r="O11" i="46"/>
  <c r="O12" i="46"/>
  <c r="O13" i="46"/>
  <c r="O14" i="46"/>
  <c r="O15" i="46"/>
  <c r="O10" i="46"/>
  <c r="M38" i="78" a="1"/>
  <c r="H38" i="78" a="1"/>
  <c r="P38" i="78" a="1"/>
  <c r="O38" i="78" a="1"/>
  <c r="J38" i="78" a="1"/>
  <c r="Q38" i="78" a="1"/>
  <c r="I38" i="78" a="1"/>
  <c r="N38" i="78" a="1"/>
  <c r="L38" i="78" a="1"/>
  <c r="K38" i="78" a="1"/>
  <c r="O116" i="83" l="1"/>
  <c r="N192" i="83"/>
  <c r="N121" i="83"/>
  <c r="N125" i="83" s="1"/>
  <c r="N126" i="83" s="1"/>
  <c r="M198" i="82"/>
  <c r="M87" i="82"/>
  <c r="M166" i="82" s="1"/>
  <c r="M172" i="82" s="1"/>
  <c r="N197" i="82"/>
  <c r="N117" i="82"/>
  <c r="O41" i="78"/>
  <c r="P158" i="78"/>
  <c r="P41" i="78"/>
  <c r="Q158" i="78"/>
  <c r="Q41" i="78"/>
  <c r="G147" i="78"/>
  <c r="G165" i="78" s="1"/>
  <c r="G166" i="78" s="1"/>
  <c r="H41" i="78"/>
  <c r="I41" i="78"/>
  <c r="I158" i="78"/>
  <c r="J41" i="78"/>
  <c r="O53" i="78"/>
  <c r="O101" i="78" s="1"/>
  <c r="N53" i="78"/>
  <c r="N101" i="78" s="1"/>
  <c r="D165" i="78"/>
  <c r="D166" i="78" s="1"/>
  <c r="E165" i="78"/>
  <c r="E166" i="78" s="1"/>
  <c r="O82" i="78"/>
  <c r="O83" i="78" s="1"/>
  <c r="P82" i="78"/>
  <c r="P83" i="78" s="1"/>
  <c r="Q82" i="78"/>
  <c r="Q83" i="78" s="1"/>
  <c r="M82" i="78"/>
  <c r="M83" i="78" s="1"/>
  <c r="L53" i="78"/>
  <c r="L101" i="78" s="1"/>
  <c r="N82" i="78"/>
  <c r="N83" i="78" s="1"/>
  <c r="O97" i="78"/>
  <c r="P97" i="78"/>
  <c r="Q97" i="78"/>
  <c r="N140" i="78"/>
  <c r="N97" i="78"/>
  <c r="K83" i="78"/>
  <c r="J82" i="78"/>
  <c r="J83" i="78" s="1"/>
  <c r="O140" i="78"/>
  <c r="F165" i="78"/>
  <c r="F166" i="78" s="1"/>
  <c r="Q103" i="78" a="1"/>
  <c r="Q103" i="78" s="1"/>
  <c r="Q104" i="78" s="1"/>
  <c r="N45" i="78"/>
  <c r="J51" i="78"/>
  <c r="O45" i="78"/>
  <c r="K51" i="78"/>
  <c r="K53" i="78" s="1"/>
  <c r="K101" i="78" s="1"/>
  <c r="M52" i="78"/>
  <c r="M53" i="78" s="1"/>
  <c r="M101" i="78" s="1"/>
  <c r="K66" i="78"/>
  <c r="K191" i="78" s="1"/>
  <c r="L66" i="78"/>
  <c r="L191" i="78" s="1"/>
  <c r="J45" i="78"/>
  <c r="H52" i="78"/>
  <c r="H53" i="78" s="1"/>
  <c r="H101" i="78" s="1"/>
  <c r="N66" i="78"/>
  <c r="N191" i="78" s="1"/>
  <c r="P53" i="78"/>
  <c r="P101" i="78" s="1"/>
  <c r="I45" i="78"/>
  <c r="I46" i="78" s="1"/>
  <c r="K45" i="78"/>
  <c r="B48" i="78"/>
  <c r="I52" i="78"/>
  <c r="I53" i="78" s="1"/>
  <c r="I101" i="78" s="1"/>
  <c r="K143" i="78" a="1"/>
  <c r="K143" i="78" s="1"/>
  <c r="K144" i="78" s="1"/>
  <c r="O66" i="78"/>
  <c r="O191" i="78" s="1"/>
  <c r="Q51" i="78"/>
  <c r="Q53" i="78" s="1"/>
  <c r="Q101" i="78" s="1"/>
  <c r="M66" i="78"/>
  <c r="M191" i="78" s="1"/>
  <c r="L45" i="78"/>
  <c r="J52" i="78"/>
  <c r="L103" i="78" a="1"/>
  <c r="L103" i="78" s="1"/>
  <c r="L104" i="78" s="1"/>
  <c r="P66" i="78"/>
  <c r="P191" i="78" s="1"/>
  <c r="L111" i="78"/>
  <c r="M111" i="78"/>
  <c r="H45" i="78"/>
  <c r="M45" i="78"/>
  <c r="Q66" i="78"/>
  <c r="Q191" i="78" s="1"/>
  <c r="K103" i="78" a="1"/>
  <c r="K103" i="78" s="1"/>
  <c r="K104" i="78" s="1"/>
  <c r="I57" i="78"/>
  <c r="I103" i="78" s="1" a="1"/>
  <c r="I103" i="78" s="1"/>
  <c r="I104" i="78" s="1"/>
  <c r="H57" i="78"/>
  <c r="J57" i="78"/>
  <c r="J143" i="78" s="1" a="1"/>
  <c r="J143" i="78" s="1"/>
  <c r="J144" i="78" s="1"/>
  <c r="N111" i="78"/>
  <c r="L143" i="78" a="1"/>
  <c r="L143" i="78" s="1"/>
  <c r="L144" i="78" s="1"/>
  <c r="Q44" i="78"/>
  <c r="Q46" i="78" s="1"/>
  <c r="Q143" i="78" a="1"/>
  <c r="Q143" i="78" s="1"/>
  <c r="Q144" i="78" s="1"/>
  <c r="K111" i="78"/>
  <c r="B39" i="78"/>
  <c r="H44" i="78"/>
  <c r="J38" i="78"/>
  <c r="Q38" i="78"/>
  <c r="K38" i="78"/>
  <c r="P38" i="78"/>
  <c r="I38" i="78"/>
  <c r="O38" i="78"/>
  <c r="L38" i="78"/>
  <c r="M38" i="78"/>
  <c r="H38" i="78"/>
  <c r="N38" i="78"/>
  <c r="K140" i="78"/>
  <c r="K97" i="78"/>
  <c r="Q140" i="78"/>
  <c r="J140" i="78"/>
  <c r="J97" i="78"/>
  <c r="I140" i="78"/>
  <c r="I97" i="78"/>
  <c r="H140" i="78"/>
  <c r="H97" i="78"/>
  <c r="M140" i="78"/>
  <c r="M97" i="78"/>
  <c r="L140" i="78"/>
  <c r="L97" i="78"/>
  <c r="O103" i="78" a="1"/>
  <c r="O103" i="78" s="1"/>
  <c r="O104" i="78" s="1"/>
  <c r="O143" i="78" a="1"/>
  <c r="O143" i="78" s="1"/>
  <c r="O144" i="78" s="1"/>
  <c r="P103" i="78" a="1"/>
  <c r="P103" i="78" s="1"/>
  <c r="P104" i="78" s="1"/>
  <c r="J111" i="78"/>
  <c r="P143" i="78" a="1"/>
  <c r="P143" i="78" s="1"/>
  <c r="P144" i="78" s="1"/>
  <c r="M143" i="78" a="1"/>
  <c r="M143" i="78" s="1"/>
  <c r="M144" i="78" s="1"/>
  <c r="M103" i="78" a="1"/>
  <c r="M103" i="78" s="1"/>
  <c r="M104" i="78" s="1"/>
  <c r="N143" i="78" a="1"/>
  <c r="N143" i="78" s="1"/>
  <c r="N144" i="78" s="1"/>
  <c r="N103" i="78" a="1"/>
  <c r="N103" i="78" s="1"/>
  <c r="N104" i="78" s="1"/>
  <c r="B11" i="78"/>
  <c r="B30" i="78"/>
  <c r="H29" i="78" s="1"/>
  <c r="H153" i="78" s="1"/>
  <c r="O44" i="78"/>
  <c r="H111" i="78"/>
  <c r="B26" i="78"/>
  <c r="P44" i="78"/>
  <c r="P46" i="78" s="1"/>
  <c r="L82" i="78"/>
  <c r="L83" i="78" s="1"/>
  <c r="I111" i="78"/>
  <c r="J44" i="78"/>
  <c r="B83" i="78"/>
  <c r="O111" i="78"/>
  <c r="K44" i="78"/>
  <c r="P111" i="78"/>
  <c r="L44" i="78"/>
  <c r="H82" i="78"/>
  <c r="H83" i="78" s="1"/>
  <c r="G83" i="78" s="1"/>
  <c r="F83" i="78" s="1"/>
  <c r="E83" i="78" s="1"/>
  <c r="D83" i="78" s="1"/>
  <c r="Q111" i="78"/>
  <c r="M44" i="78"/>
  <c r="B70" i="78"/>
  <c r="O71" i="78" s="1"/>
  <c r="B74" i="78"/>
  <c r="I82" i="78"/>
  <c r="I83" i="78" s="1"/>
  <c r="N44" i="78"/>
  <c r="N87" i="83" l="1"/>
  <c r="N166" i="83" s="1"/>
  <c r="N172" i="83" s="1"/>
  <c r="N198" i="83"/>
  <c r="O197" i="83"/>
  <c r="O117" i="83"/>
  <c r="N121" i="82"/>
  <c r="N125" i="82" s="1"/>
  <c r="N126" i="82" s="1"/>
  <c r="O116" i="82"/>
  <c r="N192" i="82"/>
  <c r="H46" i="78"/>
  <c r="H107" i="78" s="1"/>
  <c r="K46" i="78"/>
  <c r="O193" i="78"/>
  <c r="L46" i="78"/>
  <c r="L107" i="78" s="1"/>
  <c r="P171" i="78"/>
  <c r="O171" i="78" s="1"/>
  <c r="N171" i="78" s="1"/>
  <c r="M171" i="78" s="1"/>
  <c r="L171" i="78" s="1"/>
  <c r="K171" i="78" s="1"/>
  <c r="J171" i="78" s="1"/>
  <c r="I171" i="78" s="1"/>
  <c r="H171" i="78" s="1"/>
  <c r="G171" i="78" s="1"/>
  <c r="F171" i="78" s="1"/>
  <c r="E171" i="78" s="1"/>
  <c r="D171" i="78" s="1"/>
  <c r="D172" i="78" s="1"/>
  <c r="Q107" i="78"/>
  <c r="J46" i="78"/>
  <c r="J107" i="78" s="1"/>
  <c r="K107" i="78"/>
  <c r="P40" i="78"/>
  <c r="P42" i="78" s="1"/>
  <c r="H151" i="78"/>
  <c r="H143" i="78" a="1"/>
  <c r="H143" i="78" s="1"/>
  <c r="H144" i="78" s="1"/>
  <c r="H150" i="78" s="1"/>
  <c r="H103" i="78" a="1"/>
  <c r="H103" i="78" s="1"/>
  <c r="H104" i="78" s="1"/>
  <c r="I107" i="78"/>
  <c r="J53" i="78"/>
  <c r="J101" i="78" s="1"/>
  <c r="N46" i="78"/>
  <c r="N107" i="78" s="1"/>
  <c r="O46" i="78"/>
  <c r="O107" i="78" s="1"/>
  <c r="M40" i="78"/>
  <c r="M42" i="78" s="1"/>
  <c r="N40" i="78"/>
  <c r="N42" i="78" s="1"/>
  <c r="L40" i="78"/>
  <c r="L42" i="78" s="1"/>
  <c r="Q40" i="78"/>
  <c r="Q42" i="78" s="1"/>
  <c r="M46" i="78"/>
  <c r="M107" i="78" s="1"/>
  <c r="O40" i="78"/>
  <c r="O42" i="78" s="1"/>
  <c r="K40" i="78"/>
  <c r="K42" i="78" s="1"/>
  <c r="I143" i="78" a="1"/>
  <c r="I143" i="78" s="1"/>
  <c r="I144" i="78" s="1"/>
  <c r="J103" i="78" a="1"/>
  <c r="J103" i="78" s="1"/>
  <c r="J104" i="78" s="1"/>
  <c r="I40" i="78"/>
  <c r="I42" i="78" s="1"/>
  <c r="H40" i="78"/>
  <c r="H42" i="78" s="1"/>
  <c r="M189" i="78"/>
  <c r="Q189" i="78"/>
  <c r="P189" i="78"/>
  <c r="O189" i="78"/>
  <c r="N189" i="78"/>
  <c r="I189" i="78"/>
  <c r="B14" i="78"/>
  <c r="H189" i="78"/>
  <c r="K189" i="78"/>
  <c r="L189" i="78"/>
  <c r="J189" i="78"/>
  <c r="I71" i="78"/>
  <c r="O196" i="78"/>
  <c r="P107" i="78"/>
  <c r="O194" i="78"/>
  <c r="B71" i="78"/>
  <c r="P71" i="78"/>
  <c r="N71" i="78"/>
  <c r="H71" i="78"/>
  <c r="M71" i="78"/>
  <c r="L71" i="78"/>
  <c r="K71" i="78"/>
  <c r="J71" i="78"/>
  <c r="Q71" i="78"/>
  <c r="Q29" i="78"/>
  <c r="P29" i="78"/>
  <c r="P153" i="78" s="1"/>
  <c r="N29" i="78"/>
  <c r="L29" i="78"/>
  <c r="O29" i="78"/>
  <c r="M29" i="78"/>
  <c r="I29" i="78"/>
  <c r="I153" i="78" s="1"/>
  <c r="K29" i="78"/>
  <c r="J29" i="78"/>
  <c r="J153" i="78" s="1"/>
  <c r="J40" i="78"/>
  <c r="J42" i="78" s="1"/>
  <c r="H154" i="78" l="1"/>
  <c r="O121" i="83"/>
  <c r="O125" i="83" s="1"/>
  <c r="O126" i="83" s="1"/>
  <c r="P116" i="83"/>
  <c r="O192" i="83"/>
  <c r="O197" i="82"/>
  <c r="O117" i="82"/>
  <c r="N87" i="82"/>
  <c r="N166" i="82" s="1"/>
  <c r="N172" i="82" s="1"/>
  <c r="N198" i="82"/>
  <c r="Q153" i="78"/>
  <c r="Q150" i="78"/>
  <c r="Q154" i="78" s="1"/>
  <c r="Q151" i="78"/>
  <c r="Q147" i="78"/>
  <c r="G172" i="78"/>
  <c r="K47" i="78"/>
  <c r="K147" i="78" s="1"/>
  <c r="K159" i="78" s="1"/>
  <c r="K153" i="78"/>
  <c r="L47" i="78"/>
  <c r="L147" i="78" s="1"/>
  <c r="L159" i="78" s="1"/>
  <c r="L153" i="78"/>
  <c r="N47" i="78"/>
  <c r="N147" i="78" s="1"/>
  <c r="N159" i="78" s="1"/>
  <c r="N153" i="78"/>
  <c r="O47" i="78"/>
  <c r="O147" i="78" s="1"/>
  <c r="O159" i="78" s="1"/>
  <c r="O153" i="78"/>
  <c r="M47" i="78"/>
  <c r="M147" i="78" s="1"/>
  <c r="M159" i="78" s="1"/>
  <c r="M153" i="78"/>
  <c r="H193" i="78"/>
  <c r="P193" i="78"/>
  <c r="Q196" i="78"/>
  <c r="P196" i="78"/>
  <c r="J196" i="78"/>
  <c r="J31" i="78"/>
  <c r="J151" i="78"/>
  <c r="J150" i="78"/>
  <c r="N196" i="78"/>
  <c r="N193" i="78"/>
  <c r="H31" i="78"/>
  <c r="H106" i="78" s="1"/>
  <c r="H47" i="78"/>
  <c r="H147" i="78" s="1"/>
  <c r="I31" i="78"/>
  <c r="I150" i="78"/>
  <c r="I151" i="78"/>
  <c r="I47" i="78"/>
  <c r="I147" i="78" s="1"/>
  <c r="M31" i="78"/>
  <c r="M150" i="78"/>
  <c r="M151" i="78"/>
  <c r="O31" i="78"/>
  <c r="O151" i="78"/>
  <c r="O150" i="78"/>
  <c r="O154" i="78" s="1"/>
  <c r="I194" i="78"/>
  <c r="I193" i="78"/>
  <c r="L150" i="78"/>
  <c r="L154" i="78" s="1"/>
  <c r="L151" i="78"/>
  <c r="L31" i="78"/>
  <c r="Q193" i="78"/>
  <c r="Q194" i="78"/>
  <c r="I196" i="78"/>
  <c r="M193" i="78"/>
  <c r="M196" i="78"/>
  <c r="M194" i="78"/>
  <c r="F172" i="78"/>
  <c r="N150" i="78"/>
  <c r="N154" i="78" s="1"/>
  <c r="N31" i="78"/>
  <c r="N151" i="78"/>
  <c r="E172" i="78"/>
  <c r="H196" i="78"/>
  <c r="H194" i="78"/>
  <c r="K150" i="78"/>
  <c r="K154" i="78" s="1"/>
  <c r="K31" i="78"/>
  <c r="K151" i="78"/>
  <c r="P151" i="78"/>
  <c r="P31" i="78"/>
  <c r="P150" i="78"/>
  <c r="P154" i="78" s="1"/>
  <c r="J193" i="78"/>
  <c r="J194" i="78"/>
  <c r="P194" i="78"/>
  <c r="N194" i="78"/>
  <c r="Q31" i="78"/>
  <c r="Q47" i="78"/>
  <c r="K196" i="78"/>
  <c r="K193" i="78"/>
  <c r="K194" i="78"/>
  <c r="P47" i="78"/>
  <c r="P147" i="78" s="1"/>
  <c r="J47" i="78"/>
  <c r="J147" i="78" s="1"/>
  <c r="L194" i="78"/>
  <c r="L193" i="78"/>
  <c r="L196" i="78"/>
  <c r="J154" i="78" l="1"/>
  <c r="P197" i="83"/>
  <c r="P117" i="83"/>
  <c r="O87" i="83"/>
  <c r="O166" i="83" s="1"/>
  <c r="O172" i="83" s="1"/>
  <c r="O198" i="83"/>
  <c r="O121" i="82"/>
  <c r="O125" i="82" s="1"/>
  <c r="O126" i="82" s="1"/>
  <c r="O192" i="82"/>
  <c r="P116" i="82"/>
  <c r="M154" i="78"/>
  <c r="K160" i="78"/>
  <c r="K161" i="78" s="1"/>
  <c r="I154" i="78"/>
  <c r="H159" i="78"/>
  <c r="H160" i="78" s="1"/>
  <c r="Q159" i="78"/>
  <c r="P199" i="78"/>
  <c r="P106" i="78"/>
  <c r="P108" i="78" s="1"/>
  <c r="P109" i="78" s="1"/>
  <c r="O199" i="78"/>
  <c r="O106" i="78"/>
  <c r="O108" i="78" s="1"/>
  <c r="O109" i="78" s="1"/>
  <c r="N106" i="78"/>
  <c r="N108" i="78" s="1"/>
  <c r="N109" i="78" s="1"/>
  <c r="N199" i="78"/>
  <c r="L199" i="78"/>
  <c r="L106" i="78"/>
  <c r="L108" i="78" s="1"/>
  <c r="L109" i="78" s="1"/>
  <c r="H199" i="78"/>
  <c r="H108" i="78"/>
  <c r="H109" i="78" s="1"/>
  <c r="Q199" i="78"/>
  <c r="Q106" i="78"/>
  <c r="Q108" i="78" s="1"/>
  <c r="Q109" i="78" s="1"/>
  <c r="K199" i="78"/>
  <c r="K106" i="78"/>
  <c r="K108" i="78" s="1"/>
  <c r="K109" i="78" s="1"/>
  <c r="M199" i="78"/>
  <c r="M106" i="78"/>
  <c r="M108" i="78" s="1"/>
  <c r="M109" i="78" s="1"/>
  <c r="I159" i="78"/>
  <c r="I160" i="78" s="1"/>
  <c r="J159" i="78"/>
  <c r="J199" i="78"/>
  <c r="J106" i="78"/>
  <c r="J108" i="78" s="1"/>
  <c r="J109" i="78" s="1"/>
  <c r="I199" i="78"/>
  <c r="I106" i="78"/>
  <c r="I108" i="78" s="1"/>
  <c r="I109" i="78" s="1"/>
  <c r="P159" i="78"/>
  <c r="Q116" i="83" l="1"/>
  <c r="P192" i="83"/>
  <c r="P121" i="83"/>
  <c r="P125" i="83" s="1"/>
  <c r="P126" i="83" s="1"/>
  <c r="P197" i="82"/>
  <c r="P117" i="82"/>
  <c r="O87" i="82"/>
  <c r="O166" i="82" s="1"/>
  <c r="O172" i="82" s="1"/>
  <c r="O198" i="82"/>
  <c r="H161" i="78"/>
  <c r="Q160" i="78"/>
  <c r="Q161" i="78" s="1"/>
  <c r="Q165" i="78" s="1"/>
  <c r="J160" i="78"/>
  <c r="J161" i="78" s="1"/>
  <c r="J165" i="78" s="1"/>
  <c r="I161" i="78"/>
  <c r="I165" i="78" s="1"/>
  <c r="M195" i="78"/>
  <c r="M113" i="78"/>
  <c r="M114" i="78" s="1"/>
  <c r="L160" i="78"/>
  <c r="L161" i="78" s="1"/>
  <c r="L165" i="78" s="1"/>
  <c r="K165" i="78"/>
  <c r="N195" i="78"/>
  <c r="N113" i="78"/>
  <c r="N114" i="78" s="1"/>
  <c r="M160" i="78"/>
  <c r="M161" i="78" s="1"/>
  <c r="M165" i="78" s="1"/>
  <c r="K195" i="78"/>
  <c r="K113" i="78"/>
  <c r="K114" i="78" s="1"/>
  <c r="O195" i="78"/>
  <c r="O113" i="78"/>
  <c r="O114" i="78" s="1"/>
  <c r="J195" i="78"/>
  <c r="J113" i="78"/>
  <c r="J114" i="78" s="1"/>
  <c r="P160" i="78"/>
  <c r="P161" i="78" s="1"/>
  <c r="P165" i="78" s="1"/>
  <c r="Q195" i="78"/>
  <c r="Q113" i="78"/>
  <c r="Q114" i="78" s="1"/>
  <c r="P195" i="78"/>
  <c r="P113" i="78"/>
  <c r="P114" i="78" s="1"/>
  <c r="L195" i="78"/>
  <c r="L113" i="78"/>
  <c r="L114" i="78" s="1"/>
  <c r="O160" i="78"/>
  <c r="O161" i="78" s="1"/>
  <c r="O165" i="78" s="1"/>
  <c r="N160" i="78"/>
  <c r="N161" i="78" s="1"/>
  <c r="N165" i="78" s="1"/>
  <c r="H195" i="78"/>
  <c r="H113" i="78"/>
  <c r="H114" i="78" s="1"/>
  <c r="H117" i="78" s="1"/>
  <c r="I195" i="78"/>
  <c r="I113" i="78"/>
  <c r="I114" i="78" s="1"/>
  <c r="P87" i="83" l="1"/>
  <c r="P166" i="83" s="1"/>
  <c r="P172" i="83" s="1"/>
  <c r="P198" i="83"/>
  <c r="Q197" i="83"/>
  <c r="Q117" i="83"/>
  <c r="P121" i="82"/>
  <c r="P125" i="82" s="1"/>
  <c r="P126" i="82" s="1"/>
  <c r="P192" i="82"/>
  <c r="Q116" i="82"/>
  <c r="H165" i="78"/>
  <c r="I116" i="78"/>
  <c r="I197" i="78" s="1"/>
  <c r="H121" i="78"/>
  <c r="H125" i="78" s="1"/>
  <c r="H192" i="78"/>
  <c r="Q121" i="83" l="1"/>
  <c r="Q125" i="83" s="1"/>
  <c r="Q126" i="83" s="1"/>
  <c r="Q192" i="83"/>
  <c r="Q197" i="82"/>
  <c r="Q117" i="82"/>
  <c r="P87" i="82"/>
  <c r="P166" i="82" s="1"/>
  <c r="P172" i="82" s="1"/>
  <c r="P198" i="82"/>
  <c r="H126" i="78"/>
  <c r="I117" i="78"/>
  <c r="Q87" i="83" l="1"/>
  <c r="Q166" i="83" s="1"/>
  <c r="Q172" i="83" s="1"/>
  <c r="Q173" i="83" s="1"/>
  <c r="Q175" i="83" s="1"/>
  <c r="Q198" i="83"/>
  <c r="B129" i="83"/>
  <c r="Q121" i="82"/>
  <c r="Q125" i="82" s="1"/>
  <c r="Q126" i="82" s="1"/>
  <c r="Q192" i="82"/>
  <c r="H198" i="78"/>
  <c r="H87" i="78"/>
  <c r="I192" i="78"/>
  <c r="J116" i="78"/>
  <c r="I121" i="78"/>
  <c r="K176" i="83" l="1"/>
  <c r="K179" i="83" s="1"/>
  <c r="L176" i="83"/>
  <c r="L179" i="83" s="1"/>
  <c r="M176" i="83"/>
  <c r="M179" i="83" s="1"/>
  <c r="N176" i="83"/>
  <c r="N179" i="83" s="1"/>
  <c r="O176" i="83"/>
  <c r="O179" i="83" s="1"/>
  <c r="P176" i="83"/>
  <c r="P179" i="83" s="1"/>
  <c r="I176" i="83"/>
  <c r="I179" i="83" s="1"/>
  <c r="Q176" i="83"/>
  <c r="Q179" i="83" s="1"/>
  <c r="J176" i="83"/>
  <c r="J179" i="83" s="1"/>
  <c r="H176" i="83"/>
  <c r="H179" i="83" s="1"/>
  <c r="H180" i="83" s="1"/>
  <c r="Q87" i="82"/>
  <c r="Q166" i="82" s="1"/>
  <c r="Q172" i="82" s="1"/>
  <c r="Q173" i="82" s="1"/>
  <c r="Q175" i="82" s="1"/>
  <c r="Q198" i="82"/>
  <c r="B129" i="82"/>
  <c r="H166" i="78"/>
  <c r="H172" i="78" s="1"/>
  <c r="I125" i="78"/>
  <c r="I126" i="78" s="1"/>
  <c r="J197" i="78"/>
  <c r="J117" i="78"/>
  <c r="I180" i="83" l="1"/>
  <c r="J180" i="83" s="1"/>
  <c r="K180" i="83" s="1"/>
  <c r="L180" i="83" s="1"/>
  <c r="M180" i="83" s="1"/>
  <c r="N180" i="83" s="1"/>
  <c r="O180" i="83" s="1"/>
  <c r="P180" i="83" s="1"/>
  <c r="Q180" i="83" s="1"/>
  <c r="B183" i="83" s="1"/>
  <c r="K176" i="82"/>
  <c r="K179" i="82" s="1"/>
  <c r="L176" i="82"/>
  <c r="L179" i="82" s="1"/>
  <c r="P176" i="82"/>
  <c r="P179" i="82" s="1"/>
  <c r="Q176" i="82"/>
  <c r="Q179" i="82" s="1"/>
  <c r="I176" i="82"/>
  <c r="I179" i="82" s="1"/>
  <c r="O176" i="82"/>
  <c r="O179" i="82" s="1"/>
  <c r="J176" i="82"/>
  <c r="J179" i="82" s="1"/>
  <c r="H176" i="82"/>
  <c r="H179" i="82" s="1"/>
  <c r="H180" i="82" s="1"/>
  <c r="M176" i="82"/>
  <c r="M179" i="82" s="1"/>
  <c r="N176" i="82"/>
  <c r="N179" i="82" s="1"/>
  <c r="I198" i="78"/>
  <c r="I87" i="78"/>
  <c r="I166" i="78" s="1"/>
  <c r="J192" i="78"/>
  <c r="K116" i="78"/>
  <c r="J121" i="78"/>
  <c r="I180" i="82" l="1"/>
  <c r="J180" i="82" s="1"/>
  <c r="K180" i="82" s="1"/>
  <c r="L180" i="82" s="1"/>
  <c r="M180" i="82" s="1"/>
  <c r="N180" i="82" s="1"/>
  <c r="O180" i="82" s="1"/>
  <c r="P180" i="82" s="1"/>
  <c r="Q180" i="82" s="1"/>
  <c r="B183" i="82" s="1"/>
  <c r="I172" i="78"/>
  <c r="J125" i="78"/>
  <c r="J126" i="78" s="1"/>
  <c r="K197" i="78"/>
  <c r="K117" i="78"/>
  <c r="J198" i="78" l="1"/>
  <c r="J87" i="78"/>
  <c r="K192" i="78"/>
  <c r="L116" i="78"/>
  <c r="K121" i="78"/>
  <c r="J166" i="78" l="1"/>
  <c r="J172" i="78" s="1"/>
  <c r="K125" i="78"/>
  <c r="K126" i="78" s="1"/>
  <c r="L197" i="78"/>
  <c r="L117" i="78"/>
  <c r="K87" i="78" l="1"/>
  <c r="K198" i="78"/>
  <c r="L192" i="78"/>
  <c r="M116" i="78"/>
  <c r="L121" i="78"/>
  <c r="K166" i="78" l="1"/>
  <c r="K172" i="78" s="1"/>
  <c r="L125" i="78"/>
  <c r="L126" i="78" s="1"/>
  <c r="M197" i="78"/>
  <c r="M117" i="78"/>
  <c r="L198" i="78" l="1"/>
  <c r="L87" i="78"/>
  <c r="M192" i="78"/>
  <c r="N116" i="78"/>
  <c r="M121" i="78"/>
  <c r="L166" i="78" l="1"/>
  <c r="L172" i="78" s="1"/>
  <c r="M125" i="78"/>
  <c r="M126" i="78" s="1"/>
  <c r="N197" i="78"/>
  <c r="N117" i="78"/>
  <c r="M198" i="78" l="1"/>
  <c r="M87" i="78"/>
  <c r="N121" i="78"/>
  <c r="N192" i="78"/>
  <c r="O116" i="78"/>
  <c r="M166" i="78" l="1"/>
  <c r="M172" i="78" s="1"/>
  <c r="N125" i="78"/>
  <c r="N126" i="78" s="1"/>
  <c r="O197" i="78"/>
  <c r="O117" i="78"/>
  <c r="N198" i="78" l="1"/>
  <c r="N87" i="78"/>
  <c r="O121" i="78"/>
  <c r="O192" i="78"/>
  <c r="P116" i="78"/>
  <c r="N166" i="78" l="1"/>
  <c r="N172" i="78" s="1"/>
  <c r="O125" i="78"/>
  <c r="O126" i="78" s="1"/>
  <c r="P197" i="78"/>
  <c r="P117" i="78"/>
  <c r="O87" i="78" l="1"/>
  <c r="O198" i="78"/>
  <c r="P121" i="78"/>
  <c r="Q116" i="78"/>
  <c r="P192" i="78"/>
  <c r="N10" i="46"/>
  <c r="N11" i="46"/>
  <c r="N12" i="46"/>
  <c r="N13" i="46"/>
  <c r="N14" i="46"/>
  <c r="N15" i="46"/>
  <c r="O166" i="78" l="1"/>
  <c r="O172" i="78" s="1"/>
  <c r="P125" i="78"/>
  <c r="P126" i="78" s="1"/>
  <c r="Q197" i="78"/>
  <c r="Q117" i="78"/>
  <c r="B29" i="47"/>
  <c r="B13" i="47"/>
  <c r="B15" i="47" s="1"/>
  <c r="P87" i="78" l="1"/>
  <c r="P198" i="78"/>
  <c r="Q121" i="78"/>
  <c r="Q192" i="78"/>
  <c r="B32" i="47"/>
  <c r="B17" i="47"/>
  <c r="P166" i="78" l="1"/>
  <c r="P172" i="78" s="1"/>
  <c r="Q125" i="78"/>
  <c r="Q126" i="78" s="1"/>
  <c r="B129" i="78" l="1"/>
  <c r="Q87" i="78"/>
  <c r="Q198" i="78"/>
  <c r="Q166" i="78" l="1"/>
  <c r="Q172" i="78" s="1"/>
  <c r="Q173" i="78" s="1"/>
  <c r="Q175" i="78" s="1"/>
  <c r="Q176" i="78" s="1"/>
  <c r="Q179" i="78" l="1"/>
  <c r="H176" i="78" l="1"/>
  <c r="H179" i="78" s="1"/>
  <c r="I176" i="78"/>
  <c r="I179" i="78" s="1"/>
  <c r="J176" i="78"/>
  <c r="J179" i="78" s="1"/>
  <c r="K176" i="78"/>
  <c r="K179" i="78" s="1"/>
  <c r="L176" i="78"/>
  <c r="L179" i="78" s="1"/>
  <c r="M176" i="78"/>
  <c r="M179" i="78" s="1"/>
  <c r="N176" i="78"/>
  <c r="N179" i="78" s="1"/>
  <c r="O176" i="78"/>
  <c r="O179" i="78" s="1"/>
  <c r="P176" i="78"/>
  <c r="P179" i="78" s="1"/>
  <c r="H180" i="78" l="1"/>
  <c r="I180" i="78" s="1"/>
  <c r="J180" i="78" l="1"/>
  <c r="K180" i="78" s="1"/>
  <c r="L180" i="78" s="1"/>
  <c r="M180" i="78" s="1"/>
  <c r="N180" i="78" s="1"/>
  <c r="O180" i="78" s="1"/>
  <c r="P180" i="78" s="1"/>
  <c r="Q180" i="78" l="1"/>
  <c r="B183" i="7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<sst xmlns="http://schemas.openxmlformats.org/spreadsheetml/2006/main" count="934" uniqueCount="253">
  <si>
    <t>Rekenblad steunbedrag</t>
  </si>
  <si>
    <t>Doel van het rekenblad steunbedrag</t>
  </si>
  <si>
    <t>\\\\\\\\\\\\\\\\\\\\\\\\\\\\\\\\\\\\\\\\\\\\\\\\\\\\\\\\\\\\\\\\\\\\\\\\\\\\\\\\\\\\\\\\\\\\\\\\\\\\\\\\\\\\\\\\\\\\\\\\\\\\\\\\\\\\\\\\\\\\\\\\\\\\\\\\\\\\\\\\\\\\\\\\\\\\\\\\\\\\\\\\\\\\\\\\\\\\\\\\\\\\\\\\\\\\\\\\\\\\\\\\\\\\\\\\\\\\\\\\\\\\\\\\\\\\\\\\\\\\\\\\\\\\\\\\\\\\\\\\\\\\\\\\\\\\\\\\\\\\\\\\\\\\\\\\\\\\\\\\\\\\\\\\\\\\\\\\\\\\\\\\</t>
  </si>
  <si>
    <t>Dit rekenblad werd ontwikkeld om de aanvrager te ondersteunen bij de bepaling van het biedbedrag. Het gebruik van dit rekenblad is niet verplicht en het dient niet te worden ingediend samen met de bieding. VLAIO heeft het rekenblad met de grootste zorg ontwikkeld, maar kan niet verantwoordelijk gesteld worden voor eventuele beperkingen of fouten. Bij een conflict tussen dit document en het toelichtingsdocument, hebben de voorschriften van het toelichtingsdocument steeds voorrang.</t>
  </si>
  <si>
    <r>
      <t xml:space="preserve">Maak gebruik van de mogelijkheden tot voorbespreking, die via </t>
    </r>
    <r>
      <rPr>
        <u/>
        <sz val="12"/>
        <color rgb="FF0070C0"/>
        <rFont val="Calibri"/>
        <family val="2"/>
        <scheme val="minor"/>
      </rPr>
      <t>https://www.vlaio.be/nl/subsidies-financiering/transitiecontracten-klimaatsprong</t>
    </r>
    <r>
      <rPr>
        <sz val="12"/>
        <color theme="1"/>
        <rFont val="Calibri"/>
        <family val="2"/>
        <scheme val="minor"/>
      </rPr>
      <t xml:space="preserve"> worden aangeboden. Eventuele onduidelijkheden m.b.t. dit document kunnen daar besproken worden.</t>
    </r>
  </si>
  <si>
    <t>Bescherming rekenbladen wijzigingen</t>
  </si>
  <si>
    <t>De rekenbladen zijn beschermd met een wachtwoord om te vermijden dat per ongeluk formules/getallen aangepast worden die vastliggen 
en waar de aanvrager geen invloed op heeft. De cellen waar de gegevens/assumpties van de aanvrager relevant zijn, kunnen wel gewijzigd worden.</t>
  </si>
  <si>
    <t>Het rekenblad is louter ondersteunend. Het staat de aanvrager vrij om het rekenblad te wijzigingen/gebruiken naar eigen goeddunken.</t>
  </si>
  <si>
    <r>
      <t xml:space="preserve">Het </t>
    </r>
    <r>
      <rPr>
        <u/>
        <sz val="12"/>
        <color theme="1"/>
        <rFont val="Calibri"/>
        <family val="2"/>
        <scheme val="minor"/>
      </rPr>
      <t>wachtwoord</t>
    </r>
    <r>
      <rPr>
        <sz val="12"/>
        <color theme="1"/>
        <rFont val="Calibri"/>
        <family val="2"/>
        <scheme val="minor"/>
      </rPr>
      <t xml:space="preserve"> om de bescherming op te heffen is: </t>
    </r>
    <r>
      <rPr>
        <u/>
        <sz val="12"/>
        <color theme="1"/>
        <rFont val="Calibri"/>
        <family val="2"/>
        <scheme val="minor"/>
      </rPr>
      <t>"tracks"</t>
    </r>
  </si>
  <si>
    <t>Rekenblad ontwikkelaars</t>
  </si>
  <si>
    <t>De template is ontwikkeld door VLAIO in samenwerking met VITO.</t>
  </si>
  <si>
    <t>Contactinformatie</t>
  </si>
  <si>
    <t>Voor vragen gelinkt aan het rekenblad, gelieve het volgende mailadres te gebruiken:</t>
  </si>
  <si>
    <t>klimaatsprong@vlaio.be</t>
  </si>
  <si>
    <t>Versie</t>
  </si>
  <si>
    <t>Algemene parameters</t>
  </si>
  <si>
    <t>Technische parameters</t>
  </si>
  <si>
    <t>Omschrijving</t>
  </si>
  <si>
    <t>Waarde</t>
  </si>
  <si>
    <t>Eenheid</t>
  </si>
  <si>
    <t>Toelichting</t>
  </si>
  <si>
    <t>Plafond op prijs ETS1-emissierechten</t>
  </si>
  <si>
    <r>
      <t>€/tCO</t>
    </r>
    <r>
      <rPr>
        <vertAlign val="subscript"/>
        <sz val="12"/>
        <rFont val="Calibri"/>
        <family val="2"/>
        <scheme val="minor"/>
      </rPr>
      <t>2</t>
    </r>
  </si>
  <si>
    <t xml:space="preserve">Plafond op prijs ETS2 emissierechten </t>
  </si>
  <si>
    <t>Emissiefactor aardgas</t>
  </si>
  <si>
    <r>
      <t>kg CO</t>
    </r>
    <r>
      <rPr>
        <vertAlign val="subscript"/>
        <sz val="12"/>
        <rFont val="Calibri"/>
        <family val="2"/>
        <scheme val="minor"/>
      </rPr>
      <t>2</t>
    </r>
    <r>
      <rPr>
        <sz val="12"/>
        <rFont val="Calibri"/>
        <family val="2"/>
        <scheme val="minor"/>
      </rPr>
      <t>/GJ</t>
    </r>
    <r>
      <rPr>
        <vertAlign val="subscript"/>
        <sz val="12"/>
        <rFont val="Calibri"/>
        <family val="2"/>
        <scheme val="minor"/>
      </rPr>
      <t>OVW</t>
    </r>
  </si>
  <si>
    <r>
      <t>kg CO</t>
    </r>
    <r>
      <rPr>
        <vertAlign val="subscript"/>
        <sz val="12"/>
        <rFont val="Calibri"/>
        <family val="2"/>
        <scheme val="minor"/>
      </rPr>
      <t>2</t>
    </r>
    <r>
      <rPr>
        <sz val="12"/>
        <rFont val="Calibri"/>
        <family val="2"/>
        <scheme val="minor"/>
      </rPr>
      <t>/kWh</t>
    </r>
    <r>
      <rPr>
        <vertAlign val="subscript"/>
        <sz val="12"/>
        <rFont val="Calibri"/>
        <family val="2"/>
        <scheme val="minor"/>
      </rPr>
      <t>OVW</t>
    </r>
  </si>
  <si>
    <r>
      <t>Standaard CO</t>
    </r>
    <r>
      <rPr>
        <i/>
        <vertAlign val="subscript"/>
        <sz val="12"/>
        <rFont val="Calibri"/>
        <family val="2"/>
        <scheme val="minor"/>
      </rPr>
      <t>2</t>
    </r>
    <r>
      <rPr>
        <i/>
        <sz val="12"/>
        <rFont val="Calibri"/>
        <family val="2"/>
        <scheme val="minor"/>
      </rPr>
      <t>-emissiefactor voor aardgas gepubliceerd door VEKA-VMM (2024), omzetfactor GJ naar kWh x0,0036</t>
    </r>
  </si>
  <si>
    <t>Referentierendement gasstoomketel (OVW)</t>
  </si>
  <si>
    <t>Ketelrendement t.o.v. de onderste verbrandingswaarde van aardgas</t>
  </si>
  <si>
    <t>Emissiefactor warmteproductie (gasstoomketel)</t>
  </si>
  <si>
    <r>
      <t>kg CO</t>
    </r>
    <r>
      <rPr>
        <vertAlign val="subscript"/>
        <sz val="12"/>
        <rFont val="Calibri"/>
        <family val="2"/>
        <scheme val="minor"/>
      </rPr>
      <t>2</t>
    </r>
    <r>
      <rPr>
        <sz val="12"/>
        <rFont val="Calibri"/>
        <family val="2"/>
        <scheme val="minor"/>
      </rPr>
      <t>/kWh</t>
    </r>
    <r>
      <rPr>
        <vertAlign val="subscript"/>
        <sz val="12"/>
        <rFont val="Calibri"/>
        <family val="2"/>
        <scheme val="minor"/>
      </rPr>
      <t>th</t>
    </r>
  </si>
  <si>
    <r>
      <t>CO</t>
    </r>
    <r>
      <rPr>
        <i/>
        <vertAlign val="subscript"/>
        <sz val="12"/>
        <rFont val="Calibri"/>
        <family val="2"/>
        <scheme val="minor"/>
      </rPr>
      <t>2</t>
    </r>
    <r>
      <rPr>
        <i/>
        <sz val="12"/>
        <rFont val="Calibri"/>
        <family val="2"/>
        <scheme val="minor"/>
      </rPr>
      <t xml:space="preserve">-emissiefactor voor warmteproductie op basis van een gasketel met rendement 90% </t>
    </r>
  </si>
  <si>
    <t>Maximale kosten voor ETS1</t>
  </si>
  <si>
    <r>
      <t>€/kWh</t>
    </r>
    <r>
      <rPr>
        <vertAlign val="subscript"/>
        <sz val="12"/>
        <color theme="1"/>
        <rFont val="Calibri"/>
        <family val="2"/>
        <scheme val="minor"/>
      </rPr>
      <t>th</t>
    </r>
  </si>
  <si>
    <t>Maximale kosten voor ETS2</t>
  </si>
  <si>
    <t>Financiële parameters</t>
  </si>
  <si>
    <t>Steunperiode</t>
  </si>
  <si>
    <t>jaar</t>
  </si>
  <si>
    <t>Inflatie</t>
  </si>
  <si>
    <t>Streefdoel inflatie ECB op lange termijn</t>
  </si>
  <si>
    <t>Rendement op vreemd vermogen</t>
  </si>
  <si>
    <t>Vereist rendement op vreemd vermogen voor investeringen met een hoger risicoprofiel (Eindadvies SDE++ 2024)</t>
  </si>
  <si>
    <t>Rendement op eigen vermogen</t>
  </si>
  <si>
    <t>Vereist rendement op eigen vermogen voor investeringen met een hoger risicoprofiel (Eindadvies SDE++ 2024)</t>
  </si>
  <si>
    <t>Aandeel vreemd vermogen</t>
  </si>
  <si>
    <t>Sectorgemiddelde voor investeringen en energie-efficiëntie (PBL)</t>
  </si>
  <si>
    <t>Aandeel eigen vermogen</t>
  </si>
  <si>
    <t>Vennootschapsbelasting</t>
  </si>
  <si>
    <t>WACC</t>
  </si>
  <si>
    <t>WACC = (E/V x Re) + ((D/V x Rd) x (1 – T))</t>
  </si>
  <si>
    <t>E/V = aandeel eigen vermogen</t>
  </si>
  <si>
    <t>Re = rendement op eigen vermogen</t>
  </si>
  <si>
    <t>Rd = rendement op vreemd vermogen</t>
  </si>
  <si>
    <t>T = vennootschapsbelasting</t>
  </si>
  <si>
    <t>Technologie-afhankelijke parameters</t>
  </si>
  <si>
    <t>Technologie</t>
  </si>
  <si>
    <t>ID</t>
  </si>
  <si>
    <t>Correctiefactor netkost</t>
  </si>
  <si>
    <t>Maximum aantal vollasturen</t>
  </si>
  <si>
    <t>Economische levensduur</t>
  </si>
  <si>
    <t>Referentiebedrag</t>
  </si>
  <si>
    <t>Bodembedrag ETS1</t>
  </si>
  <si>
    <t>Bodembedrag ETS2</t>
  </si>
  <si>
    <t>Bodembedrag ETS2 nog niet in voege</t>
  </si>
  <si>
    <r>
      <t>Bodembedrag ETS1
(per ton CO</t>
    </r>
    <r>
      <rPr>
        <b/>
        <i/>
        <vertAlign val="subscript"/>
        <sz val="12"/>
        <rFont val="Calibri"/>
        <family val="2"/>
        <scheme val="minor"/>
      </rPr>
      <t>2</t>
    </r>
    <r>
      <rPr>
        <b/>
        <i/>
        <sz val="12"/>
        <rFont val="Calibri"/>
        <family val="2"/>
        <scheme val="minor"/>
      </rPr>
      <t>)</t>
    </r>
  </si>
  <si>
    <r>
      <t>Bodembedrag ETS2
(per ton CO</t>
    </r>
    <r>
      <rPr>
        <b/>
        <i/>
        <vertAlign val="subscript"/>
        <sz val="12"/>
        <rFont val="Calibri"/>
        <family val="2"/>
        <scheme val="minor"/>
      </rPr>
      <t>2</t>
    </r>
    <r>
      <rPr>
        <b/>
        <i/>
        <sz val="12"/>
        <rFont val="Calibri"/>
        <family val="2"/>
        <scheme val="minor"/>
      </rPr>
      <t>)</t>
    </r>
  </si>
  <si>
    <r>
      <t>Bodembedrag ETS2 nog niet in voege 
(per ton CO</t>
    </r>
    <r>
      <rPr>
        <b/>
        <i/>
        <vertAlign val="subscript"/>
        <sz val="12"/>
        <rFont val="Calibri"/>
        <family val="2"/>
        <scheme val="minor"/>
      </rPr>
      <t>2</t>
    </r>
    <r>
      <rPr>
        <b/>
        <i/>
        <sz val="12"/>
        <rFont val="Calibri"/>
        <family val="2"/>
        <scheme val="minor"/>
      </rPr>
      <t>)</t>
    </r>
  </si>
  <si>
    <t>Emissiefactor elektriciteit</t>
  </si>
  <si>
    <t>Vermogen gerelateerde netkosten</t>
  </si>
  <si>
    <t>LT Marktprijs elektriciteit</t>
  </si>
  <si>
    <t>Netkosten op verbruik en heffingen elektriciteit</t>
  </si>
  <si>
    <t xml:space="preserve">Maximum thermisch rendement </t>
  </si>
  <si>
    <t>Minimum COP</t>
  </si>
  <si>
    <t>Maximum COP</t>
  </si>
  <si>
    <t>%</t>
  </si>
  <si>
    <t>uur</t>
  </si>
  <si>
    <r>
      <t>€/ton CO</t>
    </r>
    <r>
      <rPr>
        <vertAlign val="subscript"/>
        <sz val="12"/>
        <color theme="1"/>
        <rFont val="Calibri"/>
        <family val="2"/>
        <scheme val="minor"/>
      </rPr>
      <t>2</t>
    </r>
  </si>
  <si>
    <r>
      <t>€/kWh</t>
    </r>
    <r>
      <rPr>
        <vertAlign val="subscript"/>
        <sz val="12"/>
        <color rgb="FF002E56"/>
        <rFont val="Calibri"/>
        <family val="2"/>
        <scheme val="minor"/>
      </rPr>
      <t>th</t>
    </r>
  </si>
  <si>
    <r>
      <t>kg CO</t>
    </r>
    <r>
      <rPr>
        <vertAlign val="subscript"/>
        <sz val="12"/>
        <color rgb="FF002E56"/>
        <rFont val="Calibri"/>
        <family val="2"/>
        <scheme val="minor"/>
      </rPr>
      <t>2</t>
    </r>
    <r>
      <rPr>
        <sz val="12"/>
        <color rgb="FF002E56"/>
        <rFont val="Calibri"/>
        <family val="2"/>
        <scheme val="minor"/>
      </rPr>
      <t>/kWh</t>
    </r>
    <r>
      <rPr>
        <vertAlign val="subscript"/>
        <sz val="12"/>
        <color rgb="FF002E56"/>
        <rFont val="Calibri"/>
        <family val="2"/>
        <scheme val="minor"/>
      </rPr>
      <t>e</t>
    </r>
  </si>
  <si>
    <r>
      <t>€/kW</t>
    </r>
    <r>
      <rPr>
        <vertAlign val="subscript"/>
        <sz val="12"/>
        <rFont val="Calibri"/>
        <family val="2"/>
        <scheme val="minor"/>
      </rPr>
      <t>e</t>
    </r>
    <r>
      <rPr>
        <sz val="12"/>
        <rFont val="Calibri"/>
        <family val="2"/>
        <scheme val="minor"/>
      </rPr>
      <t>/jaar</t>
    </r>
  </si>
  <si>
    <r>
      <t>€/kWh</t>
    </r>
    <r>
      <rPr>
        <vertAlign val="subscript"/>
        <sz val="12"/>
        <rFont val="Calibri"/>
        <family val="2"/>
        <scheme val="minor"/>
      </rPr>
      <t>e</t>
    </r>
  </si>
  <si>
    <t xml:space="preserve"> </t>
  </si>
  <si>
    <t>\\\\\\\\\\\\\\\\\\\\\\\\\\\\\\\\\\\\\\\\\\\\\\\\\\\\\\\\\\\\\\\\\\\\\\\\\\\\\\\\\\\\\\\\\\\\\\\\\\\\\\\\\\\\\\\\\\\\\\\\\\\\\\\\\\\\\\\\\\\\\\\\\\\\\\\\\\\\\\\\\\\\\\\\\\\\\\\\\\\\\\\\\\\\\\\\\\\\\\\\\\\\\\\\\\\\\\\\\\\\\\\\\\\\\\\\\\\\\\\\\\\\\\\\\\\\\\\\\\\\\\\\\\\\\\\\\\\\\\\\\\\\\\\\\\\\\\\\\\\\\\\\\\\\\\\\\\\\\\\\\\\\\\\\\\\\\\\\\\\\\\\\\\\\\\\\\\\\\\\\\\\\\\\\\\\\\\\\\\\\\\\\\\\\\\\\\\\\\\\\\\\\\\\\\\\\\\\\\\\\\\\\\\\\\\\\\\\\\\\\\\\\\\\\\\\\\\\\\\\\\\\\\\\\\\\\\\\\\\\\\\\\\\\\\\\\\\\\\\\\\\\\\\\\\\\\\\\\\\\\\\\\\\\\\\\\\\\\\\\\\\\\\\\\\\\\\\\\\\\\\\\\\\\\\\\\\\\\\\\\\\\\\\\\\\\\\\\\\\\\\\\\\\\\\\\\\\\\\\\\\\\\\\\\\\\\\\\\\\\\\\\\\\\\\\\\\\\\\\\\\\\\\\\\\\\\\\\\\\\\\\\\</t>
  </si>
  <si>
    <t>Onderbouwing paramaters: zie hoofdstuk 8 t.e.m. 10 van het toelichtingsdocument</t>
  </si>
  <si>
    <t>Prefill waarden</t>
  </si>
  <si>
    <t>Kostenpost</t>
  </si>
  <si>
    <t>1</t>
  </si>
  <si>
    <t>2</t>
  </si>
  <si>
    <t>3</t>
  </si>
  <si>
    <t>4</t>
  </si>
  <si>
    <t>5</t>
  </si>
  <si>
    <t>6</t>
  </si>
  <si>
    <t>7</t>
  </si>
  <si>
    <t>8</t>
  </si>
  <si>
    <t>9</t>
  </si>
  <si>
    <t>10</t>
  </si>
  <si>
    <t xml:space="preserve">Gasprijs </t>
  </si>
  <si>
    <r>
      <t>€/kWh</t>
    </r>
    <r>
      <rPr>
        <vertAlign val="subscript"/>
        <sz val="12"/>
        <color theme="1"/>
        <rFont val="Calibri"/>
        <family val="2"/>
        <scheme val="minor"/>
      </rPr>
      <t>bvw</t>
    </r>
  </si>
  <si>
    <t>Gasprijs taksen en netkosten</t>
  </si>
  <si>
    <t>ETS1 prijs</t>
  </si>
  <si>
    <t>ETS2 prijs</t>
  </si>
  <si>
    <t>Elektriciteitsprijs (jaargemiddelde)</t>
  </si>
  <si>
    <r>
      <t>€/kWh</t>
    </r>
    <r>
      <rPr>
        <vertAlign val="subscript"/>
        <sz val="12"/>
        <color theme="1"/>
        <rFont val="Calibri"/>
        <family val="2"/>
        <scheme val="minor"/>
      </rPr>
      <t>e</t>
    </r>
  </si>
  <si>
    <t>Elektriciteitsprijs (gemiddelde laagste 3.300 uur)</t>
  </si>
  <si>
    <r>
      <t>€/kW</t>
    </r>
    <r>
      <rPr>
        <vertAlign val="subscript"/>
        <sz val="12"/>
        <color theme="1"/>
        <rFont val="Calibri"/>
        <family val="2"/>
        <scheme val="minor"/>
      </rPr>
      <t>e</t>
    </r>
    <r>
      <rPr>
        <sz val="12"/>
        <color theme="1"/>
        <rFont val="Calibri"/>
        <family val="2"/>
        <scheme val="minor"/>
      </rPr>
      <t>/jaar</t>
    </r>
  </si>
  <si>
    <t>Europese terugvorderingsvoet België</t>
  </si>
  <si>
    <t>Berekening steunbedrag en terugvorderingsmechanisme</t>
  </si>
  <si>
    <t>Waarden uit de aanvraag</t>
  </si>
  <si>
    <t>Technologie ID:</t>
  </si>
  <si>
    <t>Installatie /project specifieke waarden geverifieerd door VLAIO</t>
  </si>
  <si>
    <t>Waarden door VLAIO bepaald (op basis van assumpties/marktprijzen)</t>
  </si>
  <si>
    <t>Berekende of gekoppelde waardes.</t>
  </si>
  <si>
    <t>Algemene assumpties die als default zijn ingevuld. Deze kunnen overschreven worden met bedrijfs-/projectspecifieke waarden</t>
  </si>
  <si>
    <r>
      <t>€/vermeden ton CO</t>
    </r>
    <r>
      <rPr>
        <vertAlign val="subscript"/>
        <sz val="12"/>
        <color rgb="FF002E56"/>
        <rFont val="Calibri"/>
        <family val="2"/>
        <scheme val="minor"/>
      </rPr>
      <t>2</t>
    </r>
  </si>
  <si>
    <t>Ingediend aanvraagbedrag</t>
  </si>
  <si>
    <t>Inputgegevens</t>
  </si>
  <si>
    <t>\\\\\\\\\\\\\\\\\\\\\\\\\\\\\\\\\\\\\\\\\\\\\\\\\\\\\\\\\\\\\\\\\\\\\\\\\\\\\\\\\\\\\\\\\\\\\\\\\\\\\\\\\\\\\\\\\\\\\\\\\\\\\\\\\\\\\\\\\\\\\\\\\\\\\\\\\\\\\\\\\\\\\\\\\\\\\\\\\\\\\\\\\\\\\\\\\\\\\\\\\\\\\\\\\\\\\\\\\\\\\\\\\\\\\\\\\\\\\\\\\\\\\\\\\\\\\\\\\\\\\\\\\\\\\\\\\\\\\\\\\\\\\\\\\\\\\\\\\\\\\\\\\\\\\\\\\\\\\\\\\\\\\\\\\\\\\\\\\\\\\\\\\\\\\\\\\\\\\\\\\\\\\\\\\\\\\\\\\\\\\\\\\\\\\\\\\\\\\\\\\\\\\</t>
  </si>
  <si>
    <t>Werkelijke uren, kosten en opbrengsten per jaar</t>
  </si>
  <si>
    <t>Installatie</t>
  </si>
  <si>
    <t xml:space="preserve">Waarde 
</t>
  </si>
  <si>
    <t>Inputvermogen</t>
  </si>
  <si>
    <r>
      <t>kW</t>
    </r>
    <r>
      <rPr>
        <vertAlign val="subscript"/>
        <sz val="12"/>
        <color theme="1"/>
        <rFont val="Calibri"/>
        <family val="2"/>
        <scheme val="minor"/>
      </rPr>
      <t>e</t>
    </r>
  </si>
  <si>
    <t>Thermisch rendement e-boiler</t>
  </si>
  <si>
    <t>COP</t>
  </si>
  <si>
    <t>Outputvermogen</t>
  </si>
  <si>
    <r>
      <t>kW</t>
    </r>
    <r>
      <rPr>
        <vertAlign val="subscript"/>
        <sz val="12"/>
        <color theme="1"/>
        <rFont val="Calibri"/>
        <family val="2"/>
        <scheme val="minor"/>
      </rPr>
      <t>th</t>
    </r>
  </si>
  <si>
    <t xml:space="preserve">Vollasturen </t>
  </si>
  <si>
    <t>uur/jaar</t>
  </si>
  <si>
    <t>Aantal vollasturen voor steunbedrag</t>
  </si>
  <si>
    <t>Kosten</t>
  </si>
  <si>
    <t>Totale investeringskosten (geverifieerd)</t>
  </si>
  <si>
    <t>€</t>
  </si>
  <si>
    <t>Toepasselijke nettarieven?</t>
  </si>
  <si>
    <t>&lt;110 kV Elia</t>
  </si>
  <si>
    <t>Jaarlijkse vaste netkosten</t>
  </si>
  <si>
    <t>Correctiefactor inputvermogen netkosten</t>
  </si>
  <si>
    <t>- Vermogen gerelateerde netwerkkosten</t>
  </si>
  <si>
    <t>€/jaar</t>
  </si>
  <si>
    <t>- Overige vaste operationele kosten</t>
  </si>
  <si>
    <t>Totaal jaarlijkse vaste kosten</t>
  </si>
  <si>
    <t xml:space="preserve">- Elektriciteitsprijs markt </t>
  </si>
  <si>
    <t>- Elektriciteitsprijs taksen en netkosten</t>
  </si>
  <si>
    <t>Totale elektriciteitskost</t>
  </si>
  <si>
    <t>Variabele operationele kosten (elektriciteitskost/jaar)</t>
  </si>
  <si>
    <t>Gemiddelde lange termijn elektriciteitsprijs</t>
  </si>
  <si>
    <t>Opbrengsten en vermeden kosten</t>
  </si>
  <si>
    <t>- Gasprijs markt</t>
  </si>
  <si>
    <t>- Gasprijs taksen en netkosten</t>
  </si>
  <si>
    <t>Totale gaskost</t>
  </si>
  <si>
    <t>ETS-bedrijf? (ja/neen)</t>
  </si>
  <si>
    <t>ETS plicht per jaar (ETS1/ETS2/nvt)</t>
  </si>
  <si>
    <t>ETS1</t>
  </si>
  <si>
    <t xml:space="preserve">ETS1 prijs </t>
  </si>
  <si>
    <t>Correctiefactor op vrije allocatie ETS</t>
  </si>
  <si>
    <t>Overige opbrengsten/vermeden kosten</t>
  </si>
  <si>
    <t>Subsidie compensatie indirecte emissiekosten</t>
  </si>
  <si>
    <t>Fiscale voordelen</t>
  </si>
  <si>
    <t>Bodembedrag</t>
  </si>
  <si>
    <t xml:space="preserve">Eenheid </t>
  </si>
  <si>
    <r>
      <t>€/ton vermeden CO</t>
    </r>
    <r>
      <rPr>
        <vertAlign val="subscript"/>
        <sz val="12"/>
        <color theme="1"/>
        <rFont val="Calibri"/>
        <family val="2"/>
        <scheme val="minor"/>
      </rPr>
      <t>2</t>
    </r>
  </si>
  <si>
    <t>Emissiefactoren</t>
  </si>
  <si>
    <t>Emissiefactor warmteproductie referentie-installatie</t>
  </si>
  <si>
    <r>
      <t>kg CO</t>
    </r>
    <r>
      <rPr>
        <vertAlign val="subscript"/>
        <sz val="12"/>
        <color theme="1"/>
        <rFont val="Calibri"/>
        <family val="2"/>
        <scheme val="minor"/>
      </rPr>
      <t>2</t>
    </r>
    <r>
      <rPr>
        <sz val="12"/>
        <color theme="1"/>
        <rFont val="Calibri"/>
        <family val="2"/>
        <scheme val="minor"/>
      </rPr>
      <t>/kWh</t>
    </r>
    <r>
      <rPr>
        <vertAlign val="subscript"/>
        <sz val="12"/>
        <color theme="1"/>
        <rFont val="Calibri"/>
        <family val="2"/>
        <scheme val="minor"/>
      </rPr>
      <t>th</t>
    </r>
  </si>
  <si>
    <t>Emissiefactor van gebruik elektriciteit</t>
  </si>
  <si>
    <r>
      <t>kg CO</t>
    </r>
    <r>
      <rPr>
        <vertAlign val="subscript"/>
        <sz val="12"/>
        <color theme="1"/>
        <rFont val="Calibri"/>
        <family val="2"/>
        <scheme val="minor"/>
      </rPr>
      <t>2</t>
    </r>
    <r>
      <rPr>
        <sz val="12"/>
        <color theme="1"/>
        <rFont val="Calibri"/>
        <family val="2"/>
        <scheme val="minor"/>
      </rPr>
      <t>/kWh</t>
    </r>
    <r>
      <rPr>
        <vertAlign val="subscript"/>
        <sz val="12"/>
        <color theme="1"/>
        <rFont val="Calibri"/>
        <family val="2"/>
        <scheme val="minor"/>
      </rPr>
      <t>e</t>
    </r>
  </si>
  <si>
    <t>Emissiereductie</t>
  </si>
  <si>
    <t>Afschrijfperiode</t>
  </si>
  <si>
    <t>Steunbedrag per jaar effectief ontvangen/uitbetaald</t>
  </si>
  <si>
    <t>Berekening steunbedrag</t>
  </si>
  <si>
    <t>Jaar</t>
  </si>
  <si>
    <t>Inflator</t>
  </si>
  <si>
    <t>CORRECTIEBEDRAG</t>
  </si>
  <si>
    <t>Correctie gas</t>
  </si>
  <si>
    <t>Correctiebedrag gasprijs</t>
  </si>
  <si>
    <r>
      <t>€/kWh</t>
    </r>
    <r>
      <rPr>
        <vertAlign val="subscript"/>
        <sz val="12"/>
        <rFont val="Calibri"/>
        <family val="2"/>
        <scheme val="minor"/>
      </rPr>
      <t>th</t>
    </r>
  </si>
  <si>
    <t>Correctie ETS</t>
  </si>
  <si>
    <t>Correctiebedrag ETS</t>
  </si>
  <si>
    <t>Correctiebedrag ETS na correctie vrije allocatie</t>
  </si>
  <si>
    <t>Correctie Elektriciteit</t>
  </si>
  <si>
    <t>- Correctiebedrag vermogenterm elektriciteit</t>
  </si>
  <si>
    <t>- Correctiebedrag totale elektriciteitskost</t>
  </si>
  <si>
    <t>Correctiebedrag elektriciteit totaal</t>
  </si>
  <si>
    <t>Correctiebedrag elektriciteit</t>
  </si>
  <si>
    <t>Correctie Compensatie Indirecte Emissies subsidie</t>
  </si>
  <si>
    <t>- Correctiebedrag CIE</t>
  </si>
  <si>
    <t>Correctie subtotaal</t>
  </si>
  <si>
    <t>Correctiebedrag subtotaal</t>
  </si>
  <si>
    <r>
      <t>Correctiebedrag subtotaal €/vermeden ton CO</t>
    </r>
    <r>
      <rPr>
        <vertAlign val="subscript"/>
        <sz val="12"/>
        <rFont val="Calibri"/>
        <family val="2"/>
        <scheme val="minor"/>
      </rPr>
      <t>2</t>
    </r>
  </si>
  <si>
    <r>
      <t>€/vermeden ton CO</t>
    </r>
    <r>
      <rPr>
        <vertAlign val="subscript"/>
        <sz val="12"/>
        <rFont val="Calibri"/>
        <family val="2"/>
        <scheme val="minor"/>
      </rPr>
      <t>2</t>
    </r>
  </si>
  <si>
    <t>Compensatie begrenzing bodembedrag vorig productiejaar</t>
  </si>
  <si>
    <t>-Correctiebedrag compensatie bodembedrag</t>
  </si>
  <si>
    <t>Correctiebedrag totaal</t>
  </si>
  <si>
    <r>
      <t>€/vermeden ton CO</t>
    </r>
    <r>
      <rPr>
        <vertAlign val="subscript"/>
        <sz val="12"/>
        <color theme="0"/>
        <rFont val="Calibri"/>
        <family val="2"/>
        <scheme val="minor"/>
      </rPr>
      <t>2</t>
    </r>
  </si>
  <si>
    <t>OPBRENSTEN PER JAAR</t>
  </si>
  <si>
    <t>Opbrengsten per jaar na correctie bodembedrag</t>
  </si>
  <si>
    <t>STEUNBEDRAG</t>
  </si>
  <si>
    <t>Steunbedrag</t>
  </si>
  <si>
    <t>Steunbedrag per jaar (berekend)</t>
  </si>
  <si>
    <t>Steunbedrag per jaar begrensd (uit te betalen)</t>
  </si>
  <si>
    <t>Totaal steunbedrag vóór terugvordering</t>
  </si>
  <si>
    <t>Berekening terug te vorderen steun</t>
  </si>
  <si>
    <t>ETS</t>
  </si>
  <si>
    <t>ETS (niet afgetopt)</t>
  </si>
  <si>
    <r>
      <t>€/kWh</t>
    </r>
    <r>
      <rPr>
        <vertAlign val="subscript"/>
        <sz val="12"/>
        <color rgb="FF000000"/>
        <rFont val="Calibri"/>
        <family val="2"/>
        <scheme val="minor"/>
      </rPr>
      <t>th</t>
    </r>
  </si>
  <si>
    <t>ETS na correctie vrije allocatie</t>
  </si>
  <si>
    <t>WERKELIJKE KOSTEN</t>
  </si>
  <si>
    <t>Kasstroom kosten (zonder afschrijving)</t>
  </si>
  <si>
    <t>WERKELIJKE OPBRENGSTEN / VERMEDEN KOSTEN</t>
  </si>
  <si>
    <t>Vermeden kosten emissierechten</t>
  </si>
  <si>
    <t>Vermeden gaskosten</t>
  </si>
  <si>
    <t>Opbrengsten/vermeden kosten per jaar</t>
  </si>
  <si>
    <t>BELASTINGEN</t>
  </si>
  <si>
    <t>Belastbare basis</t>
  </si>
  <si>
    <t>Afschrijving</t>
  </si>
  <si>
    <t>Kasstroom kosten (met afschrijving)</t>
  </si>
  <si>
    <t>Inkomsten voor belastingen</t>
  </si>
  <si>
    <t>Belastingen</t>
  </si>
  <si>
    <t>KASSTROMEN</t>
  </si>
  <si>
    <t>Kasstromen</t>
  </si>
  <si>
    <t>Kasstroom na belasting</t>
  </si>
  <si>
    <t>Kasstroom incl. steun</t>
  </si>
  <si>
    <t>Verwachte kasstromen (na steunperiode)</t>
  </si>
  <si>
    <t>TERUGVORDERING (CLAWBACK)</t>
  </si>
  <si>
    <t>Surplus</t>
  </si>
  <si>
    <t>Disconteringsvoetfactor naar jaar 10</t>
  </si>
  <si>
    <t>Waarde kasstroom incl. steun op einde steunperiode</t>
  </si>
  <si>
    <t>Surplus aan einde steunperiode</t>
  </si>
  <si>
    <t>Restwaarde aan einde steunperiode</t>
  </si>
  <si>
    <t>Totaal Surplus aan einde steunperiode</t>
  </si>
  <si>
    <t>Surplus per jaar</t>
  </si>
  <si>
    <t>Terug te vorderen steun</t>
  </si>
  <si>
    <t>Terug te vorderen steunbedragen</t>
  </si>
  <si>
    <t>Terug te vorderen bedrag incl. rente (cumulatief)</t>
  </si>
  <si>
    <t>Terug te vorderen bedrag</t>
  </si>
  <si>
    <t>Men moet nooit meer terugbetalen dan wat men initieel ontvangen heeft + rente</t>
  </si>
  <si>
    <t>Data grafiek</t>
  </si>
  <si>
    <t>Aanvraagbedrag</t>
  </si>
  <si>
    <t>Correctiebedrag elektriciteitsprijs</t>
  </si>
  <si>
    <t>Correctiebedrag subsidie compensatie indirecte emissiekosten</t>
  </si>
  <si>
    <t>Correctiebedrag Compensatie begrenzing bodembedrag</t>
  </si>
  <si>
    <r>
      <t>Ton vermeden CO</t>
    </r>
    <r>
      <rPr>
        <vertAlign val="subscript"/>
        <sz val="12"/>
        <color theme="1"/>
        <rFont val="Calibri"/>
        <family val="2"/>
        <scheme val="minor"/>
      </rPr>
      <t>2</t>
    </r>
  </si>
  <si>
    <t>E-boiler</t>
  </si>
  <si>
    <t>MVR (3.000 uur)</t>
  </si>
  <si>
    <t>Fluvius</t>
  </si>
  <si>
    <t>ETS2</t>
  </si>
  <si>
    <t>Warmtepomp (8.000 uur)</t>
  </si>
  <si>
    <t>&gt;=110 kV Elia</t>
  </si>
  <si>
    <t>nvt</t>
  </si>
  <si>
    <t>Warmtepomp (5.500 uur)</t>
  </si>
  <si>
    <t>Warmtepomp (3.000 uur)</t>
  </si>
  <si>
    <t>MVR (8.000 uur)</t>
  </si>
  <si>
    <t>MVR (5.500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</si>
</sst>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0.000"/>
    <numFmt numFmtId="165" formatCode="0.0%"/>
    <numFmt numFmtId="166" formatCode="0.0000"/>
    <numFmt numFmtId="167" formatCode="#,##0.0000"/>
    <numFmt numFmtId="168" formatCode="#,##0.0"/>
    <numFmt numFmtId="169" formatCode="#,##0.000"/>
    <numFmt numFmtId="170" formatCode="#,##0.00000"/>
    <numFmt numFmtId="171" formatCode="0.00000"/>
  </numFmts>
  <fonts count="64" x14ac:knownFonts="1">
    <font>
      <sz val="11"/>
      <color theme="1"/>
      <name val="Calibri"/>
      <family val="2"/>
      <scheme val="minor"/>
    </font>
    <font>
      <sz val="9"/>
      <color theme="1"/>
      <name val="Verdana"/>
      <family val="2"/>
    </font>
    <font>
      <b/>
      <sz val="9"/>
      <color theme="1"/>
      <name val="Verdana"/>
      <family val="2"/>
    </font>
    <font>
      <sz val="11"/>
      <color theme="1"/>
      <name val="Calibri"/>
      <family val="2"/>
      <scheme val="minor"/>
    </font>
    <font>
      <sz val="8"/>
      <name val="Calibri"/>
      <family val="2"/>
      <scheme val="minor"/>
    </font>
    <font>
      <sz val="9"/>
      <color rgb="FF002E56"/>
      <name val="Verdana"/>
      <family val="2"/>
    </font>
    <font>
      <i/>
      <sz val="11"/>
      <color rgb="FF7F7F7F"/>
      <name val="Calibri"/>
      <family val="2"/>
      <scheme val="minor"/>
    </font>
    <font>
      <u/>
      <sz val="11"/>
      <color theme="10"/>
      <name val="Calibri"/>
      <family val="2"/>
      <scheme val="minor"/>
    </font>
    <font>
      <sz val="11"/>
      <color rgb="FF3F3F76"/>
      <name val="Calibri"/>
      <family val="2"/>
      <scheme val="minor"/>
    </font>
    <font>
      <sz val="9"/>
      <color theme="1"/>
      <name val="Verdana"/>
      <family val="2"/>
    </font>
    <font>
      <b/>
      <sz val="11"/>
      <color theme="1"/>
      <name val="Calibri"/>
      <family val="2"/>
      <scheme val="minor"/>
    </font>
    <font>
      <sz val="26"/>
      <color theme="0"/>
      <name val="Calibri Light"/>
      <family val="2"/>
      <scheme val="major"/>
    </font>
    <font>
      <sz val="12"/>
      <color theme="1"/>
      <name val="Calibri"/>
      <family val="2"/>
      <scheme val="minor"/>
    </font>
    <font>
      <b/>
      <sz val="14"/>
      <name val="Calibri"/>
      <family val="2"/>
      <scheme val="minor"/>
    </font>
    <font>
      <sz val="9"/>
      <color rgb="FF009B48"/>
      <name val="Verdana"/>
      <family val="2"/>
    </font>
    <font>
      <sz val="11"/>
      <color rgb="FF009B48"/>
      <name val="Calibri"/>
      <family val="2"/>
      <scheme val="minor"/>
    </font>
    <font>
      <b/>
      <sz val="12"/>
      <color theme="1"/>
      <name val="Calibri"/>
      <family val="2"/>
      <scheme val="minor"/>
    </font>
    <font>
      <u/>
      <sz val="12"/>
      <color theme="10"/>
      <name val="Calibri"/>
      <family val="2"/>
      <scheme val="minor"/>
    </font>
    <font>
      <u/>
      <sz val="12"/>
      <color rgb="FFFF0000"/>
      <name val="Calibri"/>
      <family val="2"/>
      <scheme val="minor"/>
    </font>
    <font>
      <sz val="12"/>
      <color rgb="FFFF0000"/>
      <name val="Calibri"/>
      <family val="2"/>
      <scheme val="minor"/>
    </font>
    <font>
      <sz val="12"/>
      <name val="Calibri"/>
      <family val="2"/>
      <scheme val="minor"/>
    </font>
    <font>
      <i/>
      <sz val="12"/>
      <name val="Calibri"/>
      <family val="2"/>
      <scheme val="minor"/>
    </font>
    <font>
      <b/>
      <i/>
      <sz val="12"/>
      <color theme="1"/>
      <name val="Calibri"/>
      <family val="2"/>
      <scheme val="minor"/>
    </font>
    <font>
      <b/>
      <i/>
      <sz val="12"/>
      <name val="Calibri"/>
      <family val="2"/>
      <scheme val="minor"/>
    </font>
    <font>
      <i/>
      <sz val="12"/>
      <color theme="1"/>
      <name val="Calibri"/>
      <family val="2"/>
      <scheme val="minor"/>
    </font>
    <font>
      <vertAlign val="subscript"/>
      <sz val="12"/>
      <name val="Calibri"/>
      <family val="2"/>
      <scheme val="minor"/>
    </font>
    <font>
      <i/>
      <sz val="12"/>
      <color rgb="FF7F7F7F"/>
      <name val="Calibri"/>
      <family val="2"/>
      <scheme val="minor"/>
    </font>
    <font>
      <vertAlign val="subscript"/>
      <sz val="12"/>
      <color theme="1"/>
      <name val="Calibri"/>
      <family val="2"/>
      <scheme val="minor"/>
    </font>
    <font>
      <b/>
      <sz val="12"/>
      <color rgb="FF002E56"/>
      <name val="Calibri"/>
      <family val="2"/>
      <scheme val="minor"/>
    </font>
    <font>
      <sz val="12"/>
      <color rgb="FF002E56"/>
      <name val="Calibri"/>
      <family val="2"/>
      <scheme val="minor"/>
    </font>
    <font>
      <sz val="12"/>
      <color rgb="FF000000"/>
      <name val="Calibri"/>
      <family val="2"/>
      <scheme val="minor"/>
    </font>
    <font>
      <i/>
      <vertAlign val="subscript"/>
      <sz val="12"/>
      <name val="Calibri"/>
      <family val="2"/>
      <scheme val="minor"/>
    </font>
    <font>
      <b/>
      <sz val="12"/>
      <name val="Calibri"/>
      <family val="2"/>
      <scheme val="minor"/>
    </font>
    <font>
      <sz val="12"/>
      <color rgb="FF009B48"/>
      <name val="Calibri"/>
      <family val="2"/>
      <scheme val="minor"/>
    </font>
    <font>
      <b/>
      <i/>
      <vertAlign val="subscript"/>
      <sz val="12"/>
      <name val="Calibri"/>
      <family val="2"/>
      <scheme val="minor"/>
    </font>
    <font>
      <vertAlign val="subscript"/>
      <sz val="12"/>
      <color rgb="FF002E56"/>
      <name val="Calibri"/>
      <family val="2"/>
      <scheme val="minor"/>
    </font>
    <font>
      <sz val="12"/>
      <color rgb="FF00B050"/>
      <name val="Calibri"/>
      <family val="2"/>
      <scheme val="minor"/>
    </font>
    <font>
      <sz val="12"/>
      <color rgb="FF3F3F76"/>
      <name val="Calibri"/>
      <family val="2"/>
      <scheme val="minor"/>
    </font>
    <font>
      <b/>
      <sz val="12"/>
      <color rgb="FFFF0000"/>
      <name val="Calibri"/>
      <family val="2"/>
      <scheme val="minor"/>
    </font>
    <font>
      <sz val="12"/>
      <color theme="0" tint="-0.249977111117893"/>
      <name val="Calibri"/>
      <family val="2"/>
      <scheme val="minor"/>
    </font>
    <font>
      <vertAlign val="subscript"/>
      <sz val="12"/>
      <color rgb="FF000000"/>
      <name val="Calibri"/>
      <family val="2"/>
      <scheme val="minor"/>
    </font>
    <font>
      <b/>
      <sz val="12"/>
      <color theme="4" tint="-0.499984740745262"/>
      <name val="Calibri"/>
      <family val="2"/>
      <scheme val="minor"/>
    </font>
    <font>
      <b/>
      <sz val="12"/>
      <color theme="3"/>
      <name val="Calibri"/>
      <family val="2"/>
      <scheme val="minor"/>
    </font>
    <font>
      <b/>
      <sz val="11"/>
      <color rgb="FFFF0000"/>
      <name val="Calibri"/>
      <family val="2"/>
      <scheme val="minor"/>
    </font>
    <font>
      <b/>
      <sz val="12"/>
      <color theme="0"/>
      <name val="Calibri"/>
      <family val="2"/>
    </font>
    <font>
      <sz val="12"/>
      <color theme="1"/>
      <name val="Calibri"/>
      <family val="2"/>
    </font>
    <font>
      <b/>
      <sz val="12"/>
      <name val="Calibri"/>
      <family val="2"/>
    </font>
    <font>
      <sz val="12"/>
      <name val="Calibri"/>
      <family val="2"/>
    </font>
    <font>
      <b/>
      <sz val="12"/>
      <color theme="0"/>
      <name val="Calibri"/>
      <family val="2"/>
      <scheme val="minor"/>
    </font>
    <font>
      <b/>
      <sz val="16"/>
      <name val="Calibri"/>
      <family val="2"/>
      <scheme val="minor"/>
    </font>
    <font>
      <i/>
      <sz val="16"/>
      <name val="Calibri"/>
      <family val="2"/>
      <scheme val="minor"/>
    </font>
    <font>
      <sz val="16"/>
      <name val="Calibri"/>
      <family val="2"/>
      <scheme val="minor"/>
    </font>
    <font>
      <vertAlign val="subscript"/>
      <sz val="12"/>
      <color theme="0"/>
      <name val="Calibri"/>
      <family val="2"/>
      <scheme val="minor"/>
    </font>
    <font>
      <sz val="12"/>
      <color theme="0"/>
      <name val="Calibri"/>
      <family val="2"/>
      <scheme val="minor"/>
    </font>
    <font>
      <b/>
      <u/>
      <sz val="9"/>
      <color theme="1"/>
      <name val="Verdana"/>
      <family val="2"/>
    </font>
    <font>
      <u/>
      <sz val="12"/>
      <color rgb="FF0070C0"/>
      <name val="Calibri"/>
      <family val="2"/>
      <scheme val="minor"/>
    </font>
    <font>
      <sz val="9"/>
      <color theme="1"/>
      <name val="Verdana"/>
    </font>
    <font>
      <sz val="9"/>
      <color rgb="FF002E56"/>
      <name val="Verdana"/>
    </font>
    <font>
      <sz val="12"/>
      <color theme="1"/>
      <name val="Calibri"/>
    </font>
    <font>
      <sz val="12"/>
      <name val="Calibri"/>
    </font>
    <font>
      <sz val="26"/>
      <color theme="0"/>
      <name val="Calibri Light"/>
      <scheme val="major"/>
    </font>
    <font>
      <b/>
      <sz val="12"/>
      <color theme="0"/>
      <name val="Calibri"/>
    </font>
    <font>
      <b/>
      <sz val="12"/>
      <name val="Calibri"/>
    </font>
    <font>
      <u/>
      <sz val="12"/>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CC99"/>
      </patternFill>
    </fill>
    <fill>
      <patternFill patternType="solid">
        <fgColor rgb="FFEAEDF2"/>
        <bgColor indexed="64"/>
      </patternFill>
    </fill>
    <fill>
      <patternFill patternType="solid">
        <fgColor rgb="FFFFFFFF"/>
        <bgColor rgb="FF000000"/>
      </patternFill>
    </fill>
    <fill>
      <patternFill patternType="solid">
        <fgColor rgb="FFEAEDF2"/>
        <bgColor rgb="FF000000"/>
      </patternFill>
    </fill>
    <fill>
      <patternFill patternType="solid">
        <fgColor theme="8" tint="0.59999389629810485"/>
        <bgColor indexed="64"/>
      </patternFill>
    </fill>
    <fill>
      <patternFill patternType="solid">
        <fgColor rgb="FFFFB871"/>
        <bgColor indexed="64"/>
      </patternFill>
    </fill>
    <fill>
      <patternFill patternType="solid">
        <fgColor rgb="FF009B48"/>
        <bgColor indexed="64"/>
      </patternFill>
    </fill>
    <fill>
      <patternFill patternType="lightUp">
        <fgColor theme="0" tint="-0.34998626667073579"/>
        <bgColor theme="0"/>
      </patternFill>
    </fill>
  </fills>
  <borders count="9">
    <border>
      <left/>
      <right/>
      <top/>
      <bottom/>
      <diagonal/>
    </border>
    <border>
      <left/>
      <right/>
      <top/>
      <bottom style="thin">
        <color indexed="64"/>
      </bottom>
      <diagonal/>
    </border>
    <border>
      <left style="medium">
        <color indexed="64"/>
      </left>
      <right/>
      <top/>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thin">
        <color indexed="64"/>
      </left>
      <right style="thin">
        <color indexed="64"/>
      </right>
      <top style="thin">
        <color indexed="64"/>
      </top>
      <bottom/>
      <diagonal/>
    </border>
  </borders>
  <cellStyleXfs count="5">
    <xf numFmtId="0" fontId="0" fillId="0" borderId="0"/>
    <xf numFmtId="9" fontId="3"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4" borderId="4" applyNumberFormat="0" applyAlignment="0" applyProtection="0"/>
  </cellStyleXfs>
  <cellXfs count="301">
    <xf numFmtId="0" fontId="0" fillId="0" borderId="0" xfId="0"/>
    <xf numFmtId="0" fontId="1" fillId="2" borderId="0" xfId="0" applyFont="1" applyFill="1"/>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horizontal="center"/>
    </xf>
    <xf numFmtId="0" fontId="1" fillId="2" borderId="0" xfId="0" applyFont="1" applyFill="1" applyAlignment="1">
      <alignment vertical="center"/>
    </xf>
    <xf numFmtId="0" fontId="5" fillId="2" borderId="0" xfId="0" applyFont="1" applyFill="1" applyAlignment="1">
      <alignment horizontal="left" vertical="center"/>
    </xf>
    <xf numFmtId="0" fontId="5" fillId="2" borderId="0" xfId="0" applyFont="1" applyFill="1"/>
    <xf numFmtId="0" fontId="9" fillId="2" borderId="0" xfId="0" applyFont="1" applyFill="1" applyAlignment="1">
      <alignment horizontal="center" vertical="center"/>
    </xf>
    <xf numFmtId="0" fontId="5" fillId="10" borderId="0" xfId="0" applyFont="1" applyFill="1"/>
    <xf numFmtId="0" fontId="5" fillId="10" borderId="0" xfId="0" applyFont="1" applyFill="1" applyAlignment="1">
      <alignment horizontal="left" vertical="center"/>
    </xf>
    <xf numFmtId="0" fontId="11" fillId="10" borderId="0" xfId="0" applyFont="1" applyFill="1" applyAlignment="1">
      <alignment horizontal="left" vertical="center"/>
    </xf>
    <xf numFmtId="0" fontId="12" fillId="2" borderId="0" xfId="0" applyFont="1" applyFill="1"/>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xf>
    <xf numFmtId="0" fontId="12" fillId="2" borderId="0" xfId="0" applyFont="1" applyFill="1" applyAlignment="1">
      <alignment horizontal="left"/>
    </xf>
    <xf numFmtId="0" fontId="12" fillId="2" borderId="0" xfId="0" applyFont="1" applyFill="1" applyAlignment="1">
      <alignment horizontal="left" vertical="center"/>
    </xf>
    <xf numFmtId="169" fontId="12" fillId="2" borderId="0" xfId="0" applyNumberFormat="1" applyFont="1" applyFill="1" applyAlignment="1">
      <alignment horizontal="center" vertical="center"/>
    </xf>
    <xf numFmtId="0" fontId="20" fillId="2" borderId="0" xfId="0" applyFont="1" applyFill="1" applyAlignment="1">
      <alignment horizontal="left" vertical="center"/>
    </xf>
    <xf numFmtId="0" fontId="21" fillId="2" borderId="0" xfId="2" applyFont="1" applyFill="1" applyAlignment="1">
      <alignment vertical="center"/>
    </xf>
    <xf numFmtId="0" fontId="20" fillId="2" borderId="0" xfId="0" applyFont="1" applyFill="1" applyAlignment="1">
      <alignment vertical="center"/>
    </xf>
    <xf numFmtId="0" fontId="12" fillId="2" borderId="0" xfId="0" applyFont="1" applyFill="1" applyAlignment="1">
      <alignment vertical="center"/>
    </xf>
    <xf numFmtId="0" fontId="22" fillId="2" borderId="0" xfId="0" applyFont="1" applyFill="1" applyAlignment="1">
      <alignment horizontal="left" vertical="center"/>
    </xf>
    <xf numFmtId="0" fontId="22" fillId="2" borderId="0" xfId="0" applyFont="1" applyFill="1" applyAlignment="1">
      <alignment horizontal="center" vertical="center"/>
    </xf>
    <xf numFmtId="0" fontId="23" fillId="2" borderId="0" xfId="0" applyFont="1" applyFill="1" applyAlignment="1">
      <alignment horizontal="left" vertical="center"/>
    </xf>
    <xf numFmtId="0" fontId="21" fillId="2" borderId="0" xfId="0" applyFont="1" applyFill="1" applyAlignment="1">
      <alignment horizontal="left" vertical="center"/>
    </xf>
    <xf numFmtId="0" fontId="21" fillId="2" borderId="0" xfId="0" applyFont="1" applyFill="1" applyAlignment="1">
      <alignment vertical="center"/>
    </xf>
    <xf numFmtId="0" fontId="24" fillId="2" borderId="0" xfId="0" applyFont="1" applyFill="1" applyAlignment="1">
      <alignment vertical="center"/>
    </xf>
    <xf numFmtId="4" fontId="12" fillId="5" borderId="0" xfId="0" applyNumberFormat="1" applyFont="1" applyFill="1" applyAlignment="1">
      <alignment horizontal="center" vertical="center"/>
    </xf>
    <xf numFmtId="9" fontId="12" fillId="5" borderId="0" xfId="0" applyNumberFormat="1" applyFont="1" applyFill="1" applyAlignment="1">
      <alignment horizontal="center" vertical="center"/>
    </xf>
    <xf numFmtId="167" fontId="12" fillId="2" borderId="0" xfId="0" applyNumberFormat="1" applyFont="1" applyFill="1" applyAlignment="1">
      <alignment horizontal="center" vertical="center"/>
    </xf>
    <xf numFmtId="0" fontId="12" fillId="2" borderId="0" xfId="0" applyFont="1" applyFill="1" applyAlignment="1">
      <alignment horizontal="center"/>
    </xf>
    <xf numFmtId="3" fontId="12" fillId="5" borderId="0" xfId="0" applyNumberFormat="1" applyFont="1" applyFill="1" applyAlignment="1">
      <alignment horizontal="center" vertical="center"/>
    </xf>
    <xf numFmtId="10" fontId="12" fillId="2" borderId="0" xfId="0" applyNumberFormat="1" applyFont="1" applyFill="1" applyAlignment="1">
      <alignment horizontal="center" vertical="center"/>
    </xf>
    <xf numFmtId="0" fontId="12" fillId="2" borderId="0" xfId="0" applyFont="1" applyFill="1" applyAlignment="1">
      <alignment horizontal="center" vertical="center"/>
    </xf>
    <xf numFmtId="167" fontId="12" fillId="2" borderId="0" xfId="0" applyNumberFormat="1" applyFont="1" applyFill="1" applyAlignment="1">
      <alignment horizontal="center" vertical="center" wrapText="1"/>
    </xf>
    <xf numFmtId="0" fontId="30" fillId="6" borderId="0" xfId="0" applyFont="1" applyFill="1" applyAlignment="1">
      <alignment vertical="center"/>
    </xf>
    <xf numFmtId="10" fontId="30" fillId="7" borderId="0" xfId="0" applyNumberFormat="1" applyFont="1" applyFill="1" applyAlignment="1">
      <alignment horizontal="center" vertical="center"/>
    </xf>
    <xf numFmtId="9" fontId="30" fillId="7" borderId="0" xfId="0" applyNumberFormat="1" applyFont="1" applyFill="1" applyAlignment="1">
      <alignment horizontal="center" vertical="center"/>
    </xf>
    <xf numFmtId="167" fontId="12" fillId="5" borderId="0" xfId="0" applyNumberFormat="1" applyFont="1" applyFill="1" applyAlignment="1">
      <alignment horizontal="center" vertical="center"/>
    </xf>
    <xf numFmtId="0" fontId="12" fillId="5" borderId="0" xfId="0" applyFont="1" applyFill="1" applyAlignment="1">
      <alignment horizontal="center" vertical="center"/>
    </xf>
    <xf numFmtId="165" fontId="30" fillId="7" borderId="0" xfId="0" applyNumberFormat="1" applyFont="1" applyFill="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0" fontId="32" fillId="0" borderId="0" xfId="0" applyFont="1" applyAlignment="1">
      <alignment vertical="center"/>
    </xf>
    <xf numFmtId="0" fontId="33" fillId="2" borderId="0" xfId="0" applyFont="1" applyFill="1" applyAlignment="1">
      <alignment vertical="center"/>
    </xf>
    <xf numFmtId="0" fontId="33" fillId="0" borderId="0" xfId="0" applyFont="1" applyAlignment="1">
      <alignment vertical="center"/>
    </xf>
    <xf numFmtId="0" fontId="33" fillId="2" borderId="0" xfId="0" applyFont="1" applyFill="1"/>
    <xf numFmtId="0" fontId="33" fillId="0" borderId="0" xfId="0" applyFont="1"/>
    <xf numFmtId="0" fontId="24" fillId="2" borderId="0" xfId="0" applyFont="1" applyFill="1"/>
    <xf numFmtId="0" fontId="24" fillId="2" borderId="0" xfId="0" applyFont="1" applyFill="1" applyAlignment="1">
      <alignment horizontal="left" vertical="center"/>
    </xf>
    <xf numFmtId="0" fontId="23" fillId="0" borderId="0" xfId="0" applyFont="1" applyAlignment="1">
      <alignment horizontal="left" vertical="top" wrapText="1"/>
    </xf>
    <xf numFmtId="0" fontId="23" fillId="0" borderId="0" xfId="0" applyFont="1" applyAlignment="1">
      <alignment vertical="center" wrapText="1"/>
    </xf>
    <xf numFmtId="0" fontId="20" fillId="0" borderId="0" xfId="0" applyFont="1" applyAlignment="1">
      <alignment horizontal="left" vertical="center" wrapText="1"/>
    </xf>
    <xf numFmtId="0" fontId="20" fillId="0" borderId="0" xfId="0" applyFont="1" applyAlignment="1">
      <alignment vertical="center" wrapText="1"/>
    </xf>
    <xf numFmtId="170" fontId="12" fillId="5" borderId="0" xfId="0" applyNumberFormat="1" applyFont="1" applyFill="1" applyAlignment="1">
      <alignment horizontal="center" vertical="center"/>
    </xf>
    <xf numFmtId="164" fontId="12" fillId="5" borderId="0" xfId="0" applyNumberFormat="1" applyFont="1" applyFill="1" applyAlignment="1">
      <alignment horizontal="center" vertical="center"/>
    </xf>
    <xf numFmtId="0" fontId="12" fillId="0" borderId="0" xfId="0" applyFont="1" applyAlignment="1">
      <alignment horizontal="center" vertical="center"/>
    </xf>
    <xf numFmtId="0" fontId="12" fillId="2" borderId="0" xfId="0" applyFont="1" applyFill="1" applyAlignment="1">
      <alignment horizontal="center" vertical="center" wrapText="1"/>
    </xf>
    <xf numFmtId="169" fontId="12" fillId="2" borderId="0" xfId="0" applyNumberFormat="1" applyFont="1" applyFill="1" applyAlignment="1">
      <alignment horizontal="center" vertical="center" wrapText="1"/>
    </xf>
    <xf numFmtId="0" fontId="12" fillId="2" borderId="0" xfId="0" applyFont="1" applyFill="1" applyAlignment="1">
      <alignment vertical="center" wrapText="1"/>
    </xf>
    <xf numFmtId="0" fontId="12" fillId="2" borderId="0" xfId="0" applyFont="1" applyFill="1" applyAlignment="1">
      <alignment horizontal="left" vertical="center" wrapText="1"/>
    </xf>
    <xf numFmtId="0" fontId="12" fillId="5" borderId="0" xfId="0" applyFont="1" applyFill="1" applyAlignment="1">
      <alignment horizontal="center" vertical="center" wrapText="1"/>
    </xf>
    <xf numFmtId="9" fontId="12" fillId="5" borderId="0" xfId="1" applyFont="1" applyFill="1" applyBorder="1" applyAlignment="1">
      <alignment horizontal="center" vertical="center"/>
    </xf>
    <xf numFmtId="9" fontId="12" fillId="5" borderId="0" xfId="1" applyFont="1" applyFill="1" applyAlignment="1">
      <alignment horizontal="center" vertical="center"/>
    </xf>
    <xf numFmtId="169" fontId="12" fillId="5" borderId="0" xfId="0" applyNumberFormat="1" applyFont="1" applyFill="1" applyAlignment="1">
      <alignment horizontal="center" vertical="center"/>
    </xf>
    <xf numFmtId="168" fontId="12" fillId="5" borderId="0" xfId="0" applyNumberFormat="1" applyFont="1" applyFill="1" applyAlignment="1">
      <alignment horizontal="center" vertical="center"/>
    </xf>
    <xf numFmtId="0" fontId="12" fillId="2" borderId="3" xfId="0" applyFont="1" applyFill="1" applyBorder="1"/>
    <xf numFmtId="0" fontId="12" fillId="2" borderId="3" xfId="0" applyFont="1" applyFill="1" applyBorder="1" applyAlignment="1">
      <alignment horizontal="center"/>
    </xf>
    <xf numFmtId="0" fontId="16" fillId="2" borderId="0" xfId="0" applyFont="1" applyFill="1" applyAlignment="1">
      <alignment vertical="center"/>
    </xf>
    <xf numFmtId="2" fontId="12" fillId="5" borderId="0" xfId="0" applyNumberFormat="1" applyFont="1" applyFill="1" applyAlignment="1">
      <alignment horizontal="center" vertical="center"/>
    </xf>
    <xf numFmtId="0" fontId="48" fillId="2" borderId="0" xfId="0" applyFont="1" applyFill="1" applyAlignment="1" applyProtection="1">
      <alignment horizontal="left" vertical="center"/>
      <protection hidden="1"/>
    </xf>
    <xf numFmtId="0" fontId="30" fillId="7" borderId="0" xfId="0" applyFont="1" applyFill="1" applyAlignment="1">
      <alignment horizontal="center" vertical="center"/>
    </xf>
    <xf numFmtId="167" fontId="12" fillId="5" borderId="0" xfId="0" applyNumberFormat="1" applyFont="1" applyFill="1" applyAlignment="1">
      <alignment horizontal="center" vertical="center" wrapText="1"/>
    </xf>
    <xf numFmtId="0" fontId="23" fillId="0" borderId="0" xfId="0" applyFont="1" applyAlignment="1">
      <alignment horizontal="center" vertical="top" wrapText="1"/>
    </xf>
    <xf numFmtId="0" fontId="20" fillId="0" borderId="0" xfId="0" applyFont="1" applyAlignment="1">
      <alignment horizontal="center" vertical="center" wrapText="1"/>
    </xf>
    <xf numFmtId="0" fontId="54" fillId="2" borderId="0" xfId="0" applyFont="1" applyFill="1"/>
    <xf numFmtId="0" fontId="16" fillId="2" borderId="0" xfId="0" applyFont="1" applyFill="1" applyAlignment="1">
      <alignment horizontal="center" vertical="center"/>
    </xf>
    <xf numFmtId="0" fontId="16" fillId="0" borderId="0" xfId="0" applyFont="1" applyAlignment="1">
      <alignment horizontal="center" vertical="center"/>
    </xf>
    <xf numFmtId="10" fontId="12" fillId="5" borderId="0" xfId="1" applyNumberFormat="1" applyFont="1" applyFill="1" applyAlignment="1">
      <alignment horizontal="center" vertical="center"/>
    </xf>
    <xf numFmtId="10" fontId="12" fillId="5" borderId="0" xfId="1" applyNumberFormat="1" applyFont="1" applyFill="1" applyBorder="1" applyAlignment="1">
      <alignment horizontal="center" vertical="center"/>
    </xf>
    <xf numFmtId="0" fontId="10" fillId="2" borderId="0" xfId="0" applyFont="1" applyFill="1"/>
    <xf numFmtId="0" fontId="0" fillId="2" borderId="0" xfId="0" applyFill="1"/>
    <xf numFmtId="0" fontId="23" fillId="2" borderId="0" xfId="0" applyFont="1" applyFill="1" applyAlignment="1">
      <alignment horizontal="center" vertical="top" wrapText="1"/>
    </xf>
    <xf numFmtId="0" fontId="0" fillId="2" borderId="0" xfId="0" applyFill="1" applyAlignment="1">
      <alignment horizontal="left" vertical="center" wrapText="1"/>
    </xf>
    <xf numFmtId="0" fontId="0" fillId="2" borderId="0" xfId="0" applyFill="1" applyAlignment="1">
      <alignment vertical="center"/>
    </xf>
    <xf numFmtId="0" fontId="9" fillId="2" borderId="0" xfId="0" applyFont="1" applyFill="1"/>
    <xf numFmtId="0" fontId="14" fillId="2" borderId="0" xfId="0" applyFont="1" applyFill="1"/>
    <xf numFmtId="0" fontId="15" fillId="0" borderId="0" xfId="0" applyFont="1"/>
    <xf numFmtId="0" fontId="16" fillId="2" borderId="0" xfId="0" applyFont="1" applyFill="1"/>
    <xf numFmtId="0" fontId="17" fillId="2" borderId="0" xfId="3" applyFont="1" applyFill="1" applyProtection="1"/>
    <xf numFmtId="0" fontId="18" fillId="2" borderId="0" xfId="3" applyFont="1" applyFill="1" applyProtection="1"/>
    <xf numFmtId="0" fontId="19" fillId="2" borderId="0" xfId="0" applyFont="1" applyFill="1"/>
    <xf numFmtId="14" fontId="1" fillId="2" borderId="0" xfId="0" applyNumberFormat="1" applyFont="1" applyFill="1" applyAlignment="1">
      <alignment horizontal="left"/>
    </xf>
    <xf numFmtId="0" fontId="1" fillId="2" borderId="0" xfId="0" applyFont="1" applyFill="1" applyAlignment="1">
      <alignment horizontal="left"/>
    </xf>
    <xf numFmtId="0" fontId="9" fillId="2" borderId="0" xfId="0" applyFont="1" applyFill="1" applyAlignment="1">
      <alignment horizontal="left"/>
    </xf>
    <xf numFmtId="0" fontId="2" fillId="2" borderId="0" xfId="0" applyFont="1" applyFill="1"/>
    <xf numFmtId="2" fontId="12" fillId="5" borderId="0" xfId="0" applyNumberFormat="1" applyFont="1" applyFill="1" applyAlignment="1" applyProtection="1">
      <alignment horizontal="center" vertical="center"/>
      <protection locked="0"/>
    </xf>
    <xf numFmtId="2" fontId="12" fillId="9" borderId="0" xfId="0" applyNumberFormat="1" applyFont="1" applyFill="1" applyAlignment="1" applyProtection="1">
      <alignment horizontal="center" vertical="center"/>
      <protection locked="0"/>
    </xf>
    <xf numFmtId="3" fontId="12" fillId="5" borderId="0" xfId="0" applyNumberFormat="1" applyFont="1" applyFill="1" applyAlignment="1" applyProtection="1">
      <alignment horizontal="center" vertical="center"/>
      <protection locked="0"/>
    </xf>
    <xf numFmtId="3" fontId="20" fillId="5" borderId="0" xfId="0" applyNumberFormat="1" applyFont="1" applyFill="1" applyAlignment="1" applyProtection="1">
      <alignment horizontal="center" vertical="center"/>
      <protection locked="0"/>
    </xf>
    <xf numFmtId="2" fontId="20" fillId="5" borderId="0" xfId="0" applyNumberFormat="1" applyFont="1" applyFill="1" applyAlignment="1" applyProtection="1">
      <alignment horizontal="center" vertical="center"/>
      <protection locked="0"/>
    </xf>
    <xf numFmtId="2" fontId="20" fillId="8" borderId="0" xfId="4" applyNumberFormat="1" applyFont="1" applyFill="1" applyBorder="1" applyAlignment="1" applyProtection="1">
      <alignment horizontal="center" vertical="center"/>
      <protection locked="0"/>
    </xf>
    <xf numFmtId="171" fontId="20" fillId="8" borderId="0" xfId="4" applyNumberFormat="1" applyFont="1" applyFill="1" applyBorder="1" applyAlignment="1" applyProtection="1">
      <alignment horizontal="center" vertical="center"/>
      <protection locked="0"/>
    </xf>
    <xf numFmtId="166" fontId="20" fillId="8" borderId="0" xfId="4" applyNumberFormat="1" applyFont="1" applyFill="1" applyBorder="1" applyAlignment="1" applyProtection="1">
      <alignment horizontal="center" vertical="center"/>
      <protection locked="0"/>
    </xf>
    <xf numFmtId="171" fontId="21" fillId="8" borderId="0" xfId="4" applyNumberFormat="1" applyFont="1" applyFill="1" applyBorder="1" applyAlignment="1" applyProtection="1">
      <alignment horizontal="center" vertical="center"/>
      <protection locked="0"/>
    </xf>
    <xf numFmtId="166" fontId="21" fillId="8" borderId="0" xfId="4" applyNumberFormat="1" applyFont="1" applyFill="1" applyBorder="1" applyAlignment="1" applyProtection="1">
      <alignment horizontal="center" vertical="center"/>
      <protection locked="0"/>
    </xf>
    <xf numFmtId="10" fontId="12" fillId="5" borderId="0" xfId="0" applyNumberFormat="1" applyFont="1" applyFill="1" applyAlignment="1" applyProtection="1">
      <alignment horizontal="center" vertical="center"/>
      <protection locked="0"/>
    </xf>
    <xf numFmtId="164" fontId="37" fillId="8" borderId="0" xfId="4" applyNumberFormat="1" applyFont="1" applyFill="1" applyBorder="1" applyAlignment="1" applyProtection="1">
      <alignment horizontal="center" vertical="center"/>
      <protection locked="0"/>
    </xf>
    <xf numFmtId="10" fontId="20" fillId="8" borderId="0" xfId="4" applyNumberFormat="1" applyFont="1" applyFill="1" applyBorder="1" applyAlignment="1" applyProtection="1">
      <alignment horizontal="center" vertical="center"/>
      <protection locked="0"/>
    </xf>
    <xf numFmtId="10" fontId="20" fillId="8" borderId="0" xfId="0" applyNumberFormat="1" applyFont="1" applyFill="1" applyAlignment="1" applyProtection="1">
      <alignment horizontal="center" vertical="center"/>
      <protection locked="0"/>
    </xf>
    <xf numFmtId="0" fontId="12" fillId="0" borderId="0" xfId="0" applyFont="1" applyAlignment="1">
      <alignment vertical="center"/>
    </xf>
    <xf numFmtId="0" fontId="12" fillId="9" borderId="0" xfId="0" applyFont="1" applyFill="1" applyAlignment="1">
      <alignment vertical="center"/>
    </xf>
    <xf numFmtId="2" fontId="12" fillId="2" borderId="0" xfId="0" applyNumberFormat="1" applyFont="1" applyFill="1" applyAlignment="1">
      <alignment horizontal="center" vertical="center"/>
    </xf>
    <xf numFmtId="0" fontId="36" fillId="2" borderId="0" xfId="0" applyFont="1" applyFill="1" applyAlignment="1">
      <alignment vertical="center"/>
    </xf>
    <xf numFmtId="3" fontId="53" fillId="2" borderId="0" xfId="0" applyNumberFormat="1" applyFont="1" applyFill="1" applyAlignment="1">
      <alignment horizontal="left" vertical="center"/>
    </xf>
    <xf numFmtId="0" fontId="29" fillId="2" borderId="0" xfId="0" applyFont="1" applyFill="1" applyAlignment="1">
      <alignment horizontal="left" vertical="center"/>
    </xf>
    <xf numFmtId="0" fontId="37" fillId="8" borderId="0" xfId="4" applyFont="1" applyFill="1" applyBorder="1" applyAlignment="1" applyProtection="1">
      <alignment horizontal="center" vertical="center"/>
    </xf>
    <xf numFmtId="164" fontId="12" fillId="2" borderId="8" xfId="0" applyNumberFormat="1" applyFont="1" applyFill="1" applyBorder="1" applyAlignment="1">
      <alignment horizontal="center" vertical="center"/>
    </xf>
    <xf numFmtId="164" fontId="12" fillId="2" borderId="0" xfId="0" applyNumberFormat="1" applyFont="1" applyFill="1" applyAlignment="1">
      <alignment horizontal="center" vertical="center"/>
    </xf>
    <xf numFmtId="2" fontId="12" fillId="11" borderId="6" xfId="0" applyNumberFormat="1" applyFont="1" applyFill="1" applyBorder="1" applyAlignment="1">
      <alignment horizontal="center" vertical="center"/>
    </xf>
    <xf numFmtId="2" fontId="12" fillId="2" borderId="0" xfId="0" applyNumberFormat="1" applyFont="1" applyFill="1" applyAlignment="1">
      <alignment horizontal="left" vertical="center"/>
    </xf>
    <xf numFmtId="0" fontId="28" fillId="2" borderId="0" xfId="0" applyFont="1" applyFill="1" applyAlignment="1">
      <alignment vertical="center"/>
    </xf>
    <xf numFmtId="2" fontId="12" fillId="8" borderId="0" xfId="0" applyNumberFormat="1" applyFont="1" applyFill="1" applyAlignment="1">
      <alignment horizontal="center" vertical="center"/>
    </xf>
    <xf numFmtId="0" fontId="12" fillId="2" borderId="0" xfId="0" applyFont="1" applyFill="1" applyAlignment="1">
      <alignment horizontal="right" vertical="center"/>
    </xf>
    <xf numFmtId="3" fontId="12" fillId="2" borderId="0" xfId="0" applyNumberFormat="1" applyFont="1" applyFill="1" applyAlignment="1">
      <alignment horizontal="right" vertical="center"/>
    </xf>
    <xf numFmtId="0" fontId="38" fillId="2" borderId="0" xfId="0" applyFont="1" applyFill="1" applyAlignment="1">
      <alignment horizontal="left" vertical="center"/>
    </xf>
    <xf numFmtId="0" fontId="43" fillId="0" borderId="0" xfId="0" applyFont="1" applyAlignment="1">
      <alignment horizontal="left" vertical="center"/>
    </xf>
    <xf numFmtId="0" fontId="29" fillId="2" borderId="0" xfId="0" applyFont="1" applyFill="1" applyAlignment="1">
      <alignment vertical="center"/>
    </xf>
    <xf numFmtId="0" fontId="38" fillId="2" borderId="0" xfId="0" applyFont="1" applyFill="1" applyAlignment="1">
      <alignment vertical="center"/>
    </xf>
    <xf numFmtId="0" fontId="12" fillId="2" borderId="5" xfId="0" applyFont="1" applyFill="1" applyBorder="1" applyAlignment="1">
      <alignment horizontal="center" vertical="center"/>
    </xf>
    <xf numFmtId="0" fontId="22" fillId="2" borderId="0" xfId="0" applyFont="1" applyFill="1" applyAlignment="1">
      <alignment vertical="center" wrapText="1"/>
    </xf>
    <xf numFmtId="0" fontId="22" fillId="2" borderId="0" xfId="0" applyFont="1" applyFill="1" applyAlignment="1">
      <alignment horizontal="center" vertical="center" wrapText="1"/>
    </xf>
    <xf numFmtId="0" fontId="24" fillId="2" borderId="0" xfId="0" applyFont="1" applyFill="1" applyAlignment="1">
      <alignment vertical="center" wrapText="1"/>
    </xf>
    <xf numFmtId="0" fontId="24" fillId="0" borderId="0" xfId="0" applyFont="1" applyAlignment="1">
      <alignment vertical="center" wrapText="1"/>
    </xf>
    <xf numFmtId="9" fontId="37" fillId="8" borderId="0" xfId="4" applyNumberFormat="1" applyFont="1" applyFill="1" applyBorder="1" applyAlignment="1" applyProtection="1">
      <alignment horizontal="center" vertical="center"/>
    </xf>
    <xf numFmtId="168" fontId="12" fillId="0" borderId="0" xfId="0" applyNumberFormat="1" applyFont="1" applyAlignment="1">
      <alignment horizontal="center" vertical="center"/>
    </xf>
    <xf numFmtId="3" fontId="20" fillId="2" borderId="0" xfId="4" applyNumberFormat="1" applyFont="1" applyFill="1" applyBorder="1" applyAlignment="1" applyProtection="1">
      <alignment horizontal="center" vertical="center"/>
    </xf>
    <xf numFmtId="3" fontId="12" fillId="2" borderId="0" xfId="0" applyNumberFormat="1" applyFont="1" applyFill="1" applyAlignment="1">
      <alignment horizontal="center" vertical="center"/>
    </xf>
    <xf numFmtId="3" fontId="37" fillId="2" borderId="0" xfId="4" applyNumberFormat="1" applyFont="1" applyFill="1" applyBorder="1" applyAlignment="1" applyProtection="1">
      <alignment horizontal="right" vertical="center"/>
    </xf>
    <xf numFmtId="1" fontId="12" fillId="2" borderId="0" xfId="0" applyNumberFormat="1" applyFont="1" applyFill="1" applyAlignment="1">
      <alignment horizontal="center" vertical="center"/>
    </xf>
    <xf numFmtId="3" fontId="37" fillId="2" borderId="0" xfId="4" applyNumberFormat="1" applyFont="1" applyFill="1" applyBorder="1" applyAlignment="1" applyProtection="1">
      <alignment horizontal="center" vertical="center"/>
    </xf>
    <xf numFmtId="0" fontId="19" fillId="2" borderId="0" xfId="0" applyFont="1" applyFill="1" applyAlignment="1">
      <alignment horizontal="center" vertical="center"/>
    </xf>
    <xf numFmtId="0" fontId="19" fillId="2" borderId="0" xfId="0" applyFont="1" applyFill="1" applyAlignment="1">
      <alignment horizontal="right" vertical="center"/>
    </xf>
    <xf numFmtId="0" fontId="37" fillId="2" borderId="0" xfId="4" applyFont="1" applyFill="1" applyBorder="1" applyAlignment="1" applyProtection="1">
      <alignment horizontal="right" vertical="center"/>
    </xf>
    <xf numFmtId="0" fontId="20" fillId="0" borderId="2" xfId="0" applyFont="1" applyBorder="1" applyAlignment="1">
      <alignment vertical="center"/>
    </xf>
    <xf numFmtId="2" fontId="37" fillId="2" borderId="0" xfId="4" applyNumberFormat="1" applyFont="1" applyFill="1" applyBorder="1" applyAlignment="1" applyProtection="1">
      <alignment horizontal="center" vertical="center"/>
    </xf>
    <xf numFmtId="0" fontId="12" fillId="2" borderId="0" xfId="0" quotePrefix="1" applyFont="1" applyFill="1" applyAlignment="1">
      <alignment vertical="center"/>
    </xf>
    <xf numFmtId="0" fontId="20" fillId="0" borderId="0" xfId="0" quotePrefix="1" applyFont="1" applyAlignment="1">
      <alignment vertical="center"/>
    </xf>
    <xf numFmtId="166" fontId="37" fillId="2" borderId="0" xfId="4" applyNumberFormat="1" applyFont="1" applyFill="1" applyBorder="1" applyAlignment="1" applyProtection="1">
      <alignment horizontal="right" vertical="center"/>
    </xf>
    <xf numFmtId="0" fontId="12" fillId="0" borderId="0" xfId="0" quotePrefix="1" applyFont="1" applyAlignment="1">
      <alignment vertical="center"/>
    </xf>
    <xf numFmtId="166" fontId="12" fillId="2" borderId="0" xfId="0" applyNumberFormat="1" applyFont="1" applyFill="1" applyAlignment="1">
      <alignment horizontal="center" vertical="center"/>
    </xf>
    <xf numFmtId="0" fontId="20" fillId="0" borderId="0" xfId="0" applyFont="1" applyAlignment="1">
      <alignment vertical="center"/>
    </xf>
    <xf numFmtId="0" fontId="20" fillId="0" borderId="7" xfId="0" applyFont="1" applyBorder="1" applyAlignment="1">
      <alignment vertical="center"/>
    </xf>
    <xf numFmtId="0" fontId="20" fillId="2" borderId="0" xfId="0" applyFont="1" applyFill="1" applyAlignment="1">
      <alignment horizontal="center" vertical="center"/>
    </xf>
    <xf numFmtId="3" fontId="20" fillId="2" borderId="0" xfId="0" applyNumberFormat="1" applyFont="1" applyFill="1" applyAlignment="1">
      <alignment horizontal="center" vertical="center"/>
    </xf>
    <xf numFmtId="164" fontId="12" fillId="8" borderId="0" xfId="0" applyNumberFormat="1" applyFont="1" applyFill="1" applyAlignment="1">
      <alignment horizontal="center" vertical="center"/>
    </xf>
    <xf numFmtId="10" fontId="12" fillId="2" borderId="0" xfId="1" applyNumberFormat="1" applyFont="1" applyFill="1" applyAlignment="1" applyProtection="1">
      <alignment horizontal="center" vertical="center"/>
    </xf>
    <xf numFmtId="0" fontId="12" fillId="2" borderId="7" xfId="0" applyFont="1" applyFill="1" applyBorder="1" applyAlignment="1">
      <alignment vertical="center"/>
    </xf>
    <xf numFmtId="0" fontId="20" fillId="2" borderId="7" xfId="0" applyFont="1" applyFill="1" applyBorder="1" applyAlignment="1">
      <alignment vertical="center"/>
    </xf>
    <xf numFmtId="0" fontId="30" fillId="2" borderId="0" xfId="0" applyFont="1" applyFill="1" applyAlignment="1">
      <alignment horizontal="left" vertical="center"/>
    </xf>
    <xf numFmtId="9" fontId="20" fillId="2" borderId="0" xfId="0" applyNumberFormat="1" applyFont="1" applyFill="1" applyAlignment="1">
      <alignment horizontal="center" vertical="center"/>
    </xf>
    <xf numFmtId="10" fontId="37" fillId="2" borderId="0" xfId="4" applyNumberFormat="1" applyFont="1" applyFill="1" applyBorder="1" applyAlignment="1" applyProtection="1">
      <alignment horizontal="right" vertical="center"/>
    </xf>
    <xf numFmtId="2" fontId="37" fillId="8" borderId="0" xfId="4" applyNumberFormat="1" applyFont="1" applyFill="1" applyBorder="1" applyAlignment="1" applyProtection="1">
      <alignment horizontal="center" vertical="center"/>
    </xf>
    <xf numFmtId="0" fontId="26" fillId="2" borderId="0" xfId="2" applyFont="1" applyFill="1" applyAlignment="1" applyProtection="1">
      <alignment horizontal="right" vertical="center"/>
    </xf>
    <xf numFmtId="164" fontId="37" fillId="2" borderId="0" xfId="4" applyNumberFormat="1" applyFont="1" applyFill="1" applyBorder="1" applyAlignment="1" applyProtection="1">
      <alignment horizontal="right" vertical="center"/>
    </xf>
    <xf numFmtId="169" fontId="12" fillId="2" borderId="0" xfId="0" applyNumberFormat="1" applyFont="1" applyFill="1" applyAlignment="1">
      <alignment horizontal="right" vertical="center"/>
    </xf>
    <xf numFmtId="1" fontId="12" fillId="8" borderId="0" xfId="0" applyNumberFormat="1" applyFont="1" applyFill="1" applyAlignment="1">
      <alignment horizontal="center" vertical="center"/>
    </xf>
    <xf numFmtId="10" fontId="12" fillId="8" borderId="0" xfId="0" applyNumberFormat="1" applyFont="1" applyFill="1" applyAlignment="1">
      <alignment horizontal="center" vertical="center"/>
    </xf>
    <xf numFmtId="165" fontId="12" fillId="8" borderId="0" xfId="0" applyNumberFormat="1" applyFont="1" applyFill="1" applyAlignment="1">
      <alignment horizontal="center" vertical="center"/>
    </xf>
    <xf numFmtId="9" fontId="12" fillId="8" borderId="0" xfId="0" applyNumberFormat="1" applyFont="1" applyFill="1" applyAlignment="1">
      <alignment horizontal="center" vertical="center"/>
    </xf>
    <xf numFmtId="10" fontId="20" fillId="2" borderId="0" xfId="0" applyNumberFormat="1" applyFont="1" applyFill="1" applyAlignment="1">
      <alignment horizontal="center" vertical="center"/>
    </xf>
    <xf numFmtId="10" fontId="37" fillId="2" borderId="0" xfId="4" applyNumberFormat="1" applyFont="1" applyFill="1" applyBorder="1" applyAlignment="1" applyProtection="1">
      <alignment vertical="center"/>
    </xf>
    <xf numFmtId="3" fontId="12" fillId="8" borderId="0" xfId="0" applyNumberFormat="1" applyFont="1" applyFill="1" applyAlignment="1">
      <alignment horizontal="center" vertical="center"/>
    </xf>
    <xf numFmtId="0" fontId="12" fillId="2" borderId="0" xfId="0" applyFont="1" applyFill="1" applyAlignment="1">
      <alignment horizontal="right"/>
    </xf>
    <xf numFmtId="3" fontId="12" fillId="2" borderId="0" xfId="0" applyNumberFormat="1" applyFont="1" applyFill="1" applyAlignment="1">
      <alignment horizontal="right"/>
    </xf>
    <xf numFmtId="0" fontId="28" fillId="2" borderId="0" xfId="0" applyFont="1" applyFill="1"/>
    <xf numFmtId="2" fontId="12" fillId="2" borderId="0" xfId="0" applyNumberFormat="1" applyFont="1" applyFill="1" applyAlignment="1">
      <alignment horizontal="right"/>
    </xf>
    <xf numFmtId="0" fontId="48" fillId="10" borderId="0" xfId="0" applyFont="1" applyFill="1" applyAlignment="1">
      <alignment vertical="center"/>
    </xf>
    <xf numFmtId="0" fontId="48" fillId="10" borderId="0" xfId="0" applyFont="1" applyFill="1" applyAlignment="1">
      <alignment horizontal="center" vertical="center"/>
    </xf>
    <xf numFmtId="0" fontId="32" fillId="2" borderId="0" xfId="0" applyFont="1" applyFill="1" applyAlignment="1">
      <alignment vertical="center"/>
    </xf>
    <xf numFmtId="2" fontId="20" fillId="2" borderId="0" xfId="0" applyNumberFormat="1" applyFont="1" applyFill="1" applyAlignment="1">
      <alignment horizontal="center" vertical="center"/>
    </xf>
    <xf numFmtId="0" fontId="20" fillId="2" borderId="0" xfId="0" applyFont="1" applyFill="1"/>
    <xf numFmtId="0" fontId="20" fillId="2" borderId="0" xfId="0" applyFont="1" applyFill="1" applyAlignment="1">
      <alignment horizontal="center"/>
    </xf>
    <xf numFmtId="0" fontId="20" fillId="2" borderId="0" xfId="0" applyFont="1" applyFill="1" applyAlignment="1">
      <alignment horizontal="right"/>
    </xf>
    <xf numFmtId="3" fontId="20" fillId="2" borderId="0" xfId="0" applyNumberFormat="1" applyFont="1" applyFill="1" applyAlignment="1">
      <alignment horizontal="right"/>
    </xf>
    <xf numFmtId="0" fontId="32" fillId="3" borderId="0" xfId="0" applyFont="1" applyFill="1"/>
    <xf numFmtId="164" fontId="20" fillId="2" borderId="0" xfId="0" applyNumberFormat="1" applyFont="1" applyFill="1" applyAlignment="1">
      <alignment horizontal="center"/>
    </xf>
    <xf numFmtId="169" fontId="20" fillId="2" borderId="0" xfId="0" applyNumberFormat="1" applyFont="1" applyFill="1" applyAlignment="1">
      <alignment horizontal="center"/>
    </xf>
    <xf numFmtId="0" fontId="32" fillId="3" borderId="0" xfId="0" applyFont="1" applyFill="1" applyAlignment="1">
      <alignment horizontal="center"/>
    </xf>
    <xf numFmtId="166" fontId="20" fillId="2" borderId="0" xfId="0" applyNumberFormat="1" applyFont="1" applyFill="1" applyAlignment="1">
      <alignment horizontal="center"/>
    </xf>
    <xf numFmtId="167" fontId="20" fillId="2" borderId="0" xfId="0" applyNumberFormat="1" applyFont="1" applyFill="1" applyAlignment="1">
      <alignment horizontal="center"/>
    </xf>
    <xf numFmtId="0" fontId="20" fillId="2" borderId="0" xfId="0" quotePrefix="1" applyFont="1" applyFill="1"/>
    <xf numFmtId="4" fontId="20" fillId="2" borderId="0" xfId="0" applyNumberFormat="1" applyFont="1" applyFill="1" applyAlignment="1">
      <alignment horizontal="center"/>
    </xf>
    <xf numFmtId="2" fontId="20" fillId="2" borderId="0" xfId="0" applyNumberFormat="1" applyFont="1" applyFill="1" applyAlignment="1">
      <alignment horizontal="center"/>
    </xf>
    <xf numFmtId="2" fontId="48" fillId="10" borderId="0" xfId="0" applyNumberFormat="1" applyFont="1" applyFill="1" applyAlignment="1">
      <alignment horizontal="center" vertical="center"/>
    </xf>
    <xf numFmtId="3" fontId="12" fillId="2" borderId="0" xfId="0" applyNumberFormat="1" applyFont="1" applyFill="1" applyAlignment="1">
      <alignment horizontal="center"/>
    </xf>
    <xf numFmtId="3" fontId="12" fillId="2" borderId="0" xfId="0" applyNumberFormat="1" applyFont="1" applyFill="1" applyAlignment="1">
      <alignment horizontal="left"/>
    </xf>
    <xf numFmtId="0" fontId="20" fillId="3" borderId="0" xfId="0" applyFont="1" applyFill="1"/>
    <xf numFmtId="3" fontId="20" fillId="3" borderId="0" xfId="0" applyNumberFormat="1" applyFont="1" applyFill="1" applyAlignment="1">
      <alignment horizontal="center"/>
    </xf>
    <xf numFmtId="3" fontId="20" fillId="2" borderId="0" xfId="0" applyNumberFormat="1" applyFont="1" applyFill="1" applyAlignment="1">
      <alignment horizontal="center"/>
    </xf>
    <xf numFmtId="0" fontId="32" fillId="2" borderId="0" xfId="0" applyFont="1" applyFill="1"/>
    <xf numFmtId="1" fontId="20" fillId="2" borderId="0" xfId="0" applyNumberFormat="1" applyFont="1" applyFill="1" applyAlignment="1">
      <alignment horizontal="center"/>
    </xf>
    <xf numFmtId="0" fontId="32" fillId="2" borderId="0" xfId="0" applyFont="1" applyFill="1" applyAlignment="1">
      <alignment horizontal="center" wrapText="1"/>
    </xf>
    <xf numFmtId="0" fontId="32" fillId="3" borderId="0" xfId="0" applyFont="1" applyFill="1" applyAlignment="1">
      <alignment horizontal="right"/>
    </xf>
    <xf numFmtId="4" fontId="48" fillId="10" borderId="0" xfId="0" applyNumberFormat="1" applyFont="1" applyFill="1" applyAlignment="1">
      <alignment horizontal="center" vertical="center"/>
    </xf>
    <xf numFmtId="0" fontId="36" fillId="2" borderId="0" xfId="0" applyFont="1" applyFill="1"/>
    <xf numFmtId="0" fontId="26" fillId="2" borderId="0" xfId="2" applyFont="1" applyFill="1" applyProtection="1"/>
    <xf numFmtId="0" fontId="49" fillId="2" borderId="0" xfId="0" applyFont="1" applyFill="1"/>
    <xf numFmtId="4" fontId="49" fillId="2" borderId="0" xfId="0" applyNumberFormat="1" applyFont="1" applyFill="1" applyAlignment="1">
      <alignment horizontal="right"/>
    </xf>
    <xf numFmtId="4" fontId="49" fillId="2" borderId="0" xfId="0" applyNumberFormat="1" applyFont="1" applyFill="1" applyAlignment="1">
      <alignment horizontal="left"/>
    </xf>
    <xf numFmtId="0" fontId="50" fillId="2" borderId="0" xfId="2" applyFont="1" applyFill="1" applyProtection="1"/>
    <xf numFmtId="3" fontId="51" fillId="2" borderId="0" xfId="0" applyNumberFormat="1" applyFont="1" applyFill="1" applyAlignment="1">
      <alignment horizontal="right"/>
    </xf>
    <xf numFmtId="0" fontId="51" fillId="2" borderId="0" xfId="0" applyFont="1" applyFill="1"/>
    <xf numFmtId="0" fontId="33" fillId="10" borderId="0" xfId="0" applyFont="1" applyFill="1"/>
    <xf numFmtId="3" fontId="39" fillId="2" borderId="0" xfId="0" applyNumberFormat="1" applyFont="1" applyFill="1" applyAlignment="1">
      <alignment horizontal="center"/>
    </xf>
    <xf numFmtId="164" fontId="12" fillId="2" borderId="0" xfId="0" applyNumberFormat="1" applyFont="1" applyFill="1" applyAlignment="1">
      <alignment horizontal="center"/>
    </xf>
    <xf numFmtId="3" fontId="12" fillId="2" borderId="0" xfId="0" applyNumberFormat="1" applyFont="1" applyFill="1"/>
    <xf numFmtId="0" fontId="38" fillId="2" borderId="0" xfId="0" applyFont="1" applyFill="1"/>
    <xf numFmtId="0" fontId="44" fillId="10" borderId="0" xfId="0" applyFont="1" applyFill="1" applyAlignment="1">
      <alignment vertical="center"/>
    </xf>
    <xf numFmtId="0" fontId="44" fillId="10" borderId="0" xfId="0" applyFont="1" applyFill="1" applyAlignment="1">
      <alignment horizontal="center" vertical="center"/>
    </xf>
    <xf numFmtId="0" fontId="45" fillId="0" borderId="0" xfId="0" applyFont="1" applyAlignment="1">
      <alignment vertical="center"/>
    </xf>
    <xf numFmtId="0" fontId="46" fillId="2" borderId="0" xfId="0" applyFont="1" applyFill="1" applyAlignment="1">
      <alignment vertical="center"/>
    </xf>
    <xf numFmtId="0" fontId="47" fillId="2" borderId="0" xfId="0" applyFont="1" applyFill="1" applyAlignment="1">
      <alignment horizontal="center" vertical="center"/>
    </xf>
    <xf numFmtId="2" fontId="47" fillId="2" borderId="0" xfId="0" applyNumberFormat="1" applyFont="1" applyFill="1" applyAlignment="1">
      <alignment horizontal="center" vertical="center"/>
    </xf>
    <xf numFmtId="0" fontId="47" fillId="0" borderId="0" xfId="0" applyFont="1" applyAlignment="1">
      <alignment vertical="center"/>
    </xf>
    <xf numFmtId="0" fontId="16" fillId="2" borderId="0" xfId="0" applyFont="1" applyFill="1" applyAlignment="1">
      <alignment horizontal="left"/>
    </xf>
    <xf numFmtId="0" fontId="16" fillId="2" borderId="0" xfId="0" applyFont="1" applyFill="1" applyAlignment="1">
      <alignment horizontal="center"/>
    </xf>
    <xf numFmtId="0" fontId="28" fillId="3" borderId="0" xfId="0" applyFont="1" applyFill="1"/>
    <xf numFmtId="0" fontId="28" fillId="3" borderId="0" xfId="0" applyFont="1" applyFill="1" applyAlignment="1">
      <alignment horizontal="right"/>
    </xf>
    <xf numFmtId="0" fontId="30" fillId="2" borderId="0" xfId="0" applyFont="1" applyFill="1"/>
    <xf numFmtId="169" fontId="12" fillId="2" borderId="0" xfId="0" applyNumberFormat="1" applyFont="1" applyFill="1" applyAlignment="1">
      <alignment horizontal="right"/>
    </xf>
    <xf numFmtId="3" fontId="30" fillId="3" borderId="0" xfId="0" applyNumberFormat="1" applyFont="1" applyFill="1"/>
    <xf numFmtId="0" fontId="12" fillId="3" borderId="0" xfId="0" applyFont="1" applyFill="1"/>
    <xf numFmtId="3" fontId="12" fillId="3" borderId="0" xfId="0" applyNumberFormat="1" applyFont="1" applyFill="1" applyAlignment="1">
      <alignment horizontal="right"/>
    </xf>
    <xf numFmtId="3" fontId="20" fillId="2" borderId="0" xfId="0" applyNumberFormat="1" applyFont="1" applyFill="1"/>
    <xf numFmtId="3" fontId="30" fillId="2" borderId="0" xfId="0" applyNumberFormat="1" applyFont="1" applyFill="1"/>
    <xf numFmtId="3" fontId="12" fillId="3" borderId="0" xfId="0" applyNumberFormat="1" applyFont="1" applyFill="1"/>
    <xf numFmtId="168" fontId="12" fillId="2" borderId="0" xfId="0" applyNumberFormat="1" applyFont="1" applyFill="1"/>
    <xf numFmtId="4" fontId="36" fillId="2" borderId="0" xfId="0" applyNumberFormat="1" applyFont="1" applyFill="1" applyAlignment="1">
      <alignment horizontal="left"/>
    </xf>
    <xf numFmtId="4" fontId="12" fillId="2" borderId="0" xfId="0" applyNumberFormat="1" applyFont="1" applyFill="1" applyAlignment="1">
      <alignment horizontal="right"/>
    </xf>
    <xf numFmtId="164" fontId="20" fillId="2" borderId="0" xfId="0" applyNumberFormat="1" applyFont="1" applyFill="1" applyAlignment="1">
      <alignment horizontal="right"/>
    </xf>
    <xf numFmtId="3" fontId="30" fillId="2" borderId="0" xfId="0" applyNumberFormat="1" applyFont="1" applyFill="1" applyAlignment="1">
      <alignment horizontal="right"/>
    </xf>
    <xf numFmtId="0" fontId="41" fillId="2" borderId="0" xfId="0" applyFont="1" applyFill="1"/>
    <xf numFmtId="0" fontId="42" fillId="2" borderId="0" xfId="0" applyFont="1" applyFill="1"/>
    <xf numFmtId="3" fontId="48" fillId="10" borderId="0" xfId="0" applyNumberFormat="1" applyFont="1" applyFill="1" applyAlignment="1">
      <alignment horizontal="center" vertical="center"/>
    </xf>
    <xf numFmtId="0" fontId="21" fillId="2" borderId="0" xfId="2" applyFont="1" applyFill="1" applyProtection="1"/>
    <xf numFmtId="4" fontId="32" fillId="2" borderId="0" xfId="0" applyNumberFormat="1" applyFont="1" applyFill="1" applyAlignment="1">
      <alignment horizontal="left"/>
    </xf>
    <xf numFmtId="0" fontId="12" fillId="5" borderId="0" xfId="0" applyFont="1" applyFill="1"/>
    <xf numFmtId="3" fontId="12" fillId="5" borderId="0" xfId="0" applyNumberFormat="1" applyFont="1" applyFill="1"/>
    <xf numFmtId="2" fontId="12" fillId="2" borderId="0" xfId="0" applyNumberFormat="1" applyFont="1" applyFill="1"/>
    <xf numFmtId="167" fontId="12" fillId="2" borderId="0" xfId="0" applyNumberFormat="1" applyFont="1" applyFill="1" applyAlignment="1">
      <alignment horizontal="right"/>
    </xf>
    <xf numFmtId="3" fontId="20" fillId="3" borderId="0" xfId="0" applyNumberFormat="1" applyFont="1" applyFill="1"/>
    <xf numFmtId="0" fontId="56" fillId="2" borderId="0" xfId="0" applyFont="1" applyFill="1"/>
    <xf numFmtId="0" fontId="57" fillId="2" borderId="0" xfId="0" applyFont="1" applyFill="1"/>
    <xf numFmtId="0" fontId="57" fillId="2" borderId="0" xfId="0" applyFont="1" applyFill="1" applyAlignment="1">
      <alignment horizontal="left" vertical="center"/>
    </xf>
    <xf numFmtId="0" fontId="58" fillId="0" borderId="0" xfId="0" applyFont="1" applyAlignment="1">
      <alignment vertical="center"/>
    </xf>
    <xf numFmtId="0" fontId="59" fillId="0" borderId="0" xfId="0" applyFont="1" applyAlignment="1">
      <alignment vertical="center"/>
    </xf>
    <xf numFmtId="0" fontId="56" fillId="2" borderId="0" xfId="0" applyFont="1" applyFill="1" applyAlignment="1">
      <alignment horizontal="center"/>
    </xf>
    <xf numFmtId="0" fontId="57" fillId="10" borderId="0" xfId="0" applyFont="1" applyFill="1"/>
    <xf numFmtId="0" fontId="57" fillId="10" borderId="0" xfId="0" applyFont="1" applyFill="1" applyAlignment="1">
      <alignment horizontal="left" vertical="center"/>
    </xf>
    <xf numFmtId="0" fontId="60" fillId="10" borderId="0" xfId="0" applyFont="1" applyFill="1" applyAlignment="1">
      <alignment horizontal="left" vertical="center"/>
    </xf>
    <xf numFmtId="0" fontId="37" fillId="8" borderId="0" xfId="4" applyFont="1" applyFill="1" applyBorder="1" applyAlignment="1">
      <alignment horizontal="center" vertical="center"/>
    </xf>
    <xf numFmtId="9" fontId="37" fillId="8" borderId="0" xfId="4" applyNumberFormat="1" applyFont="1" applyFill="1" applyBorder="1" applyAlignment="1">
      <alignment horizontal="center" vertical="center"/>
    </xf>
    <xf numFmtId="3" fontId="20" fillId="2" borderId="0" xfId="4" applyNumberFormat="1" applyFont="1" applyFill="1" applyBorder="1" applyAlignment="1">
      <alignment horizontal="center" vertical="center"/>
    </xf>
    <xf numFmtId="3" fontId="37" fillId="2" borderId="0" xfId="4" applyNumberFormat="1" applyFont="1" applyFill="1" applyBorder="1" applyAlignment="1">
      <alignment horizontal="right" vertical="center"/>
    </xf>
    <xf numFmtId="3" fontId="37" fillId="2" borderId="0" xfId="4" applyNumberFormat="1" applyFont="1" applyFill="1" applyBorder="1" applyAlignment="1">
      <alignment horizontal="center" vertical="center"/>
    </xf>
    <xf numFmtId="0" fontId="37" fillId="2" borderId="0" xfId="4" applyFont="1" applyFill="1" applyBorder="1" applyAlignment="1">
      <alignment horizontal="right" vertical="center"/>
    </xf>
    <xf numFmtId="2" fontId="37" fillId="2" borderId="0" xfId="4" applyNumberFormat="1" applyFont="1" applyFill="1" applyBorder="1" applyAlignment="1">
      <alignment horizontal="center" vertical="center"/>
    </xf>
    <xf numFmtId="166" fontId="37" fillId="2" borderId="0" xfId="4" applyNumberFormat="1" applyFont="1" applyFill="1" applyBorder="1" applyAlignment="1">
      <alignment horizontal="right" vertical="center"/>
    </xf>
    <xf numFmtId="10" fontId="12" fillId="2" borderId="0" xfId="1" applyNumberFormat="1" applyFont="1" applyFill="1" applyAlignment="1">
      <alignment horizontal="center" vertical="center"/>
    </xf>
    <xf numFmtId="10" fontId="37" fillId="2" borderId="0" xfId="4" applyNumberFormat="1" applyFont="1" applyFill="1" applyBorder="1" applyAlignment="1">
      <alignment horizontal="right" vertical="center"/>
    </xf>
    <xf numFmtId="2" fontId="37" fillId="8" borderId="0" xfId="4" applyNumberFormat="1" applyFont="1" applyFill="1" applyBorder="1" applyAlignment="1">
      <alignment horizontal="center" vertical="center"/>
    </xf>
    <xf numFmtId="0" fontId="26" fillId="2" borderId="0" xfId="2" applyFont="1" applyFill="1" applyAlignment="1">
      <alignment horizontal="right" vertical="center"/>
    </xf>
    <xf numFmtId="164" fontId="37" fillId="2" borderId="0" xfId="4" applyNumberFormat="1" applyFont="1" applyFill="1" applyBorder="1" applyAlignment="1">
      <alignment horizontal="right" vertical="center"/>
    </xf>
    <xf numFmtId="10" fontId="37" fillId="2" borderId="0" xfId="4" applyNumberFormat="1" applyFont="1" applyFill="1" applyBorder="1" applyAlignment="1">
      <alignment vertical="center"/>
    </xf>
    <xf numFmtId="0" fontId="26" fillId="2" borderId="0" xfId="2" applyFont="1" applyFill="1"/>
    <xf numFmtId="0" fontId="50" fillId="2" borderId="0" xfId="2" applyFont="1" applyFill="1"/>
    <xf numFmtId="0" fontId="61" fillId="10" borderId="0" xfId="0" applyFont="1" applyFill="1" applyAlignment="1">
      <alignment vertical="center"/>
    </xf>
    <xf numFmtId="0" fontId="61" fillId="10" borderId="0" xfId="0" applyFont="1" applyFill="1" applyAlignment="1">
      <alignment horizontal="center" vertical="center"/>
    </xf>
    <xf numFmtId="0" fontId="62" fillId="2" borderId="0" xfId="0" applyFont="1" applyFill="1" applyAlignment="1">
      <alignment vertical="center"/>
    </xf>
    <xf numFmtId="0" fontId="59" fillId="2" borderId="0" xfId="0" applyFont="1" applyFill="1" applyAlignment="1">
      <alignment horizontal="center" vertical="center"/>
    </xf>
    <xf numFmtId="2" fontId="59" fillId="2" borderId="0" xfId="0" applyNumberFormat="1" applyFont="1" applyFill="1" applyAlignment="1">
      <alignment horizontal="center" vertical="center"/>
    </xf>
    <xf numFmtId="0" fontId="21" fillId="2" borderId="0" xfId="2" applyFont="1" applyFill="1"/>
    <xf numFmtId="0" fontId="12" fillId="2" borderId="0" xfId="0" applyFont="1" applyFill="1" applyAlignment="1">
      <alignment vertical="top" wrapText="1"/>
    </xf>
    <xf numFmtId="0" fontId="0" fillId="0" borderId="0" xfId="0" applyAlignment="1">
      <alignment vertical="top" wrapText="1"/>
    </xf>
    <xf numFmtId="0" fontId="14" fillId="2" borderId="0" xfId="0" applyFont="1" applyFill="1"/>
    <xf numFmtId="0" fontId="14" fillId="2" borderId="0" xfId="0" applyFont="1" applyFill="1" applyAlignment="1">
      <alignment vertical="center"/>
    </xf>
    <xf numFmtId="0" fontId="15" fillId="0" borderId="0" xfId="0" applyFont="1" applyAlignment="1">
      <alignment vertical="center"/>
    </xf>
    <xf numFmtId="0" fontId="33" fillId="2" borderId="0" xfId="0" applyFont="1" applyFill="1" applyAlignment="1">
      <alignment vertical="center"/>
    </xf>
    <xf numFmtId="0" fontId="33" fillId="0" borderId="0" xfId="0" applyFont="1" applyAlignment="1">
      <alignment vertical="center"/>
    </xf>
    <xf numFmtId="0" fontId="33" fillId="2" borderId="0" xfId="0" applyFont="1" applyFill="1"/>
    <xf numFmtId="0" fontId="33" fillId="0" borderId="0" xfId="0" applyFont="1"/>
    <xf numFmtId="0" fontId="12" fillId="0" borderId="0" xfId="0" applyFont="1" applyAlignment="1">
      <alignment vertical="center"/>
    </xf>
    <xf numFmtId="0" fontId="12" fillId="9" borderId="0" xfId="0" applyFont="1" applyFill="1" applyAlignment="1" applyProtection="1">
      <alignment horizontal="left" vertical="center"/>
      <protection locked="0"/>
    </xf>
    <xf numFmtId="0" fontId="38" fillId="2" borderId="0" xfId="0" applyFont="1" applyFill="1" applyAlignment="1">
      <alignment horizontal="left" vertical="center"/>
    </xf>
    <xf numFmtId="0" fontId="43" fillId="0" borderId="0" xfId="0" applyFont="1" applyAlignment="1">
      <alignment horizontal="left" vertical="center"/>
    </xf>
    <xf numFmtId="0" fontId="12" fillId="2" borderId="1" xfId="0" applyFont="1" applyFill="1" applyBorder="1" applyAlignment="1">
      <alignment horizontal="center" vertical="center"/>
    </xf>
    <xf numFmtId="0" fontId="22" fillId="2" borderId="0" xfId="0" applyFont="1" applyFill="1" applyAlignment="1">
      <alignment vertical="center" wrapText="1"/>
    </xf>
    <xf numFmtId="0" fontId="0" fillId="0" borderId="0" xfId="0" applyAlignment="1">
      <alignment vertical="center"/>
    </xf>
  </cellXfs>
  <cellStyles count="5">
    <cellStyle name="Hyperlink" xfId="3" builtinId="8"/>
    <cellStyle name="Invoer" xfId="4" builtinId="20"/>
    <cellStyle name="Procent" xfId="1" builtinId="5"/>
    <cellStyle name="Standaard" xfId="0" builtinId="0"/>
    <cellStyle name="Verklarende tekst" xfId="2" builtinId="53"/>
  </cellStyles>
  <dxfs count="81">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bgColor auto="1"/>
        </patternFill>
      </fill>
    </dxf>
    <dxf>
      <font>
        <b val="0"/>
        <i/>
        <strike val="0"/>
      </font>
      <fill>
        <patternFill patternType="lightUp">
          <fgColor theme="0" tint="-0.34998626667073579"/>
          <bgColor auto="1"/>
        </patternFill>
      </fill>
    </dxf>
    <dxf>
      <font>
        <color theme="0"/>
      </font>
      <fill>
        <patternFill>
          <bgColor theme="0"/>
        </patternFill>
      </fill>
    </dxf>
    <dxf>
      <fill>
        <patternFill>
          <bgColor theme="0"/>
        </patternFill>
      </fill>
    </dxf>
    <dxf>
      <font>
        <color theme="0"/>
      </font>
      <fill>
        <patternFill>
          <bgColor theme="0"/>
        </patternFill>
      </fill>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bgColor auto="1"/>
        </patternFill>
      </fill>
    </dxf>
    <dxf>
      <font>
        <b val="0"/>
        <i/>
        <strike val="0"/>
      </font>
      <fill>
        <patternFill patternType="lightUp">
          <fgColor theme="0" tint="-0.34998626667073579"/>
          <bgColor auto="1"/>
        </patternFill>
      </fill>
    </dxf>
    <dxf>
      <font>
        <color theme="0"/>
      </font>
      <fill>
        <patternFill>
          <bgColor theme="0"/>
        </patternFill>
      </fill>
    </dxf>
    <dxf>
      <fill>
        <patternFill>
          <bgColor theme="0"/>
        </patternFill>
      </fill>
    </dxf>
    <dxf>
      <font>
        <color theme="0"/>
      </font>
      <fill>
        <patternFill>
          <bgColor theme="0"/>
        </patternFill>
      </fill>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patternFill>
      </fill>
    </dxf>
    <dxf>
      <font>
        <b val="0"/>
        <i/>
        <strike val="0"/>
      </font>
      <fill>
        <patternFill patternType="lightUp">
          <fgColor theme="0" tint="-0.34998626667073579"/>
        </patternFill>
      </fill>
      <border>
        <left/>
        <right/>
        <top/>
        <bottom/>
        <vertical/>
        <horizontal/>
      </border>
    </dxf>
    <dxf>
      <font>
        <b val="0"/>
        <i/>
        <strike val="0"/>
      </font>
      <fill>
        <patternFill patternType="lightUp">
          <fgColor theme="0" tint="-0.34998626667073579"/>
          <bgColor auto="1"/>
        </patternFill>
      </fill>
    </dxf>
    <dxf>
      <font>
        <b val="0"/>
        <i/>
        <strike val="0"/>
      </font>
      <fill>
        <patternFill patternType="lightUp">
          <fgColor theme="0" tint="-0.34998626667073579"/>
          <bgColor auto="1"/>
        </patternFill>
      </fill>
    </dxf>
    <dxf>
      <font>
        <color theme="0"/>
      </font>
      <fill>
        <patternFill>
          <bgColor theme="0"/>
        </patternFill>
      </fill>
    </dxf>
    <dxf>
      <fill>
        <patternFill>
          <bgColor theme="0"/>
        </patternFill>
      </fill>
    </dxf>
    <dxf>
      <font>
        <color theme="0"/>
      </font>
      <fill>
        <patternFill>
          <bgColor theme="0"/>
        </patternFill>
      </fill>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rgb="FFEAEDF2"/>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9" formatCode="#,##0.000"/>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minor"/>
      </font>
      <numFmt numFmtId="169" formatCode="#,##0.000"/>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minor"/>
      </font>
      <numFmt numFmtId="170" formatCode="#,##0.00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minor"/>
      </font>
      <numFmt numFmtId="167" formatCode="#,##0.0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7" formatCode="#,##0.0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7" formatCode="#,##0.0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7" formatCode="#,##0.000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7" formatCode="#,##0.000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7" formatCode="#,##0.0000"/>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vertical="center" textRotation="0" indent="0" justifyLastLine="0" shrinkToFit="0" readingOrder="0"/>
    </dxf>
    <dxf>
      <font>
        <b/>
        <i/>
        <strike val="0"/>
        <condense val="0"/>
        <extend val="0"/>
        <outline val="0"/>
        <shadow val="0"/>
        <u val="none"/>
        <vertAlign val="baseline"/>
        <sz val="12"/>
        <color auto="1"/>
        <name val="Calibri"/>
        <family val="2"/>
        <scheme val="minor"/>
      </font>
      <alignment horizontal="left" vertical="top" textRotation="0" wrapText="1" indent="0" justifyLastLine="0" shrinkToFit="0" readingOrder="0"/>
    </dxf>
    <dxf>
      <border>
        <left/>
        <right/>
        <top/>
        <bottom/>
        <vertical/>
        <horizontal/>
      </border>
    </dxf>
  </dxfs>
  <tableStyles count="2" defaultTableStyle="TableStyleMedium2" defaultPivotStyle="PivotStyleLight16">
    <tableStyle name="Tabelstijl 1" pivot="0" count="0" xr9:uid="{3CE667E8-E8CF-4B5C-BFD1-1403368360EB}"/>
    <tableStyle name="Tabelstijl 2" pivot="0" count="1" xr9:uid="{2A4BBD17-866D-456B-809A-D7A883711942}">
      <tableStyleElement type="wholeTable" dxfId="80"/>
    </tableStyle>
  </tableStyles>
  <colors>
    <mruColors>
      <color rgb="FF009B48"/>
      <color rgb="FFEAEDF2"/>
      <color rgb="FFCC0000"/>
      <color rgb="FFFFCC99"/>
      <color rgb="FFFFB8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Jaarlijks</a:t>
            </a:r>
            <a:r>
              <a:rPr lang="nl-BE" baseline="0"/>
              <a:t> steunbedrag (€/ton vermeden CO</a:t>
            </a:r>
            <a:r>
              <a:rPr lang="nl-BE" baseline="-25000"/>
              <a:t>2</a:t>
            </a:r>
            <a:r>
              <a:rPr lang="nl-BE" baseline="0"/>
              <a:t>)</a:t>
            </a:r>
            <a:endParaRPr lang="nl-B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barChart>
        <c:barDir val="col"/>
        <c:grouping val="stacked"/>
        <c:varyColors val="0"/>
        <c:ser>
          <c:idx val="4"/>
          <c:order val="4"/>
          <c:tx>
            <c:strRef>
              <c:f>Steunberekening!$A$198</c:f>
              <c:strCache>
                <c:ptCount val="1"/>
                <c:pt idx="0">
                  <c:v>Steunbedrag</c:v>
                </c:pt>
              </c:strCache>
            </c:strRef>
          </c:tx>
          <c:spPr>
            <a:solidFill>
              <a:schemeClr val="accent6"/>
            </a:solidFill>
            <a:ln>
              <a:noFill/>
            </a:ln>
            <a:effectLst/>
          </c:spPr>
          <c:invertIfNegative val="0"/>
          <c:val>
            <c:numRef>
              <c:f>Steunberekening!$H$198:$Q$198</c:f>
              <c:numCache>
                <c:formatCode>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6="http://schemas.microsoft.com/office/drawing/2014/chart" uri="{C3380CC4-5D6E-409C-BE32-E72D297353CC}">
              <c16:uniqueId val="{00000000-FC3C-4F8F-B6D9-A37FC3850CB4}"/>
            </c:ext>
          </c:extLst>
        </c:ser>
        <c:ser>
          <c:idx val="7"/>
          <c:order val="5"/>
          <c:tx>
            <c:strRef>
              <c:f>Steunberekening!$A$193</c:f>
              <c:strCache>
                <c:ptCount val="1"/>
                <c:pt idx="0">
                  <c:v>Correctiebedrag gasprijs</c:v>
                </c:pt>
              </c:strCache>
            </c:strRef>
          </c:tx>
          <c:spPr>
            <a:solidFill>
              <a:schemeClr val="tx1">
                <a:lumMod val="75000"/>
                <a:lumOff val="25000"/>
              </a:schemeClr>
            </a:solidFill>
            <a:ln>
              <a:noFill/>
            </a:ln>
            <a:effectLst/>
          </c:spPr>
          <c:invertIfNegative val="0"/>
          <c:val>
            <c:numRef>
              <c:f>Steunberekening!$H$193:$Q$193</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C3C-4F8F-B6D9-A37FC3850CB4}"/>
            </c:ext>
          </c:extLst>
        </c:ser>
        <c:ser>
          <c:idx val="8"/>
          <c:order val="6"/>
          <c:tx>
            <c:strRef>
              <c:f>Steunberekening!$A$194</c:f>
              <c:strCache>
                <c:ptCount val="1"/>
                <c:pt idx="0">
                  <c:v>Correctiebedrag ETS</c:v>
                </c:pt>
              </c:strCache>
            </c:strRef>
          </c:tx>
          <c:spPr>
            <a:solidFill>
              <a:schemeClr val="accent3">
                <a:lumMod val="60000"/>
              </a:schemeClr>
            </a:solidFill>
            <a:ln>
              <a:noFill/>
            </a:ln>
            <a:effectLst/>
          </c:spPr>
          <c:invertIfNegative val="0"/>
          <c:val>
            <c:numRef>
              <c:f>Steunberekening!$H$194:$Q$194</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C3C-4F8F-B6D9-A37FC3850CB4}"/>
            </c:ext>
          </c:extLst>
        </c:ser>
        <c:ser>
          <c:idx val="9"/>
          <c:order val="7"/>
          <c:tx>
            <c:strRef>
              <c:f>Steunberekening!$A$195</c:f>
              <c:strCache>
                <c:ptCount val="1"/>
                <c:pt idx="0">
                  <c:v>Correctiebedrag elektriciteitsprijs</c:v>
                </c:pt>
              </c:strCache>
            </c:strRef>
          </c:tx>
          <c:spPr>
            <a:solidFill>
              <a:schemeClr val="bg1">
                <a:lumMod val="65000"/>
              </a:schemeClr>
            </a:solidFill>
            <a:ln>
              <a:noFill/>
            </a:ln>
            <a:effectLst/>
          </c:spPr>
          <c:invertIfNegative val="0"/>
          <c:val>
            <c:numRef>
              <c:f>Steunberekening!$H$195:$Q$195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C3C-4F8F-B6D9-A37FC3850CB4}"/>
            </c:ext>
          </c:extLst>
        </c:ser>
        <c:ser>
          <c:idx val="5"/>
          <c:order val="8"/>
          <c:tx>
            <c:v>Correctiebedrag CIE</c:v>
          </c:tx>
          <c:spPr>
            <a:solidFill>
              <a:schemeClr val="accent1">
                <a:lumMod val="40000"/>
                <a:lumOff val="60000"/>
              </a:schemeClr>
            </a:solidFill>
            <a:ln>
              <a:noFill/>
            </a:ln>
            <a:effectLst/>
          </c:spPr>
          <c:invertIfNegative val="0"/>
          <c:val>
            <c:numRef>
              <c:f>Steunberekening!$H$196:$Q$196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C3C-4F8F-B6D9-A37FC3850CB4}"/>
            </c:ext>
          </c:extLst>
        </c:ser>
        <c:ser>
          <c:idx val="6"/>
          <c:order val="9"/>
          <c:tx>
            <c:v>Correctiebedrag bodembedrag</c:v>
          </c:tx>
          <c:spPr>
            <a:solidFill>
              <a:schemeClr val="bg1">
                <a:lumMod val="95000"/>
              </a:schemeClr>
            </a:solidFill>
            <a:ln>
              <a:noFill/>
            </a:ln>
            <a:effectLst/>
          </c:spPr>
          <c:invertIfNegative val="0"/>
          <c:val>
            <c:numRef>
              <c:f>Steunberekening!$H$197:$Q$197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C3C-4F8F-B6D9-A37FC3850CB4}"/>
            </c:ext>
          </c:extLst>
        </c:ser>
        <c:dLbls>
          <c:showLegendKey val="0"/>
          <c:showVal val="0"/>
          <c:showCatName val="0"/>
          <c:showSerName val="0"/>
          <c:showPercent val="0"/>
          <c:showBubbleSize val="0"/>
        </c:dLbls>
        <c:gapWidth val="150"/>
        <c:overlap val="100"/>
        <c:axId val="1972972160"/>
        <c:axId val="1972972640"/>
        <c:extLst>
          <c:ext xmlns:c15="http://schemas.microsoft.com/office/drawing/2012/chart" uri="{02D57815-91ED-43cb-92C2-25804820EDAC}">
            <c15:filteredBarSeries>
              <c15:ser>
                <c:idx val="3"/>
                <c:order val="3"/>
                <c:tx>
                  <c:strRef>
                    <c:extLst>
                      <c:ext uri="{02D57815-91ED-43cb-92C2-25804820EDAC}">
                        <c15:formulaRef>
                          <c15:sqref>Steunberekening!$A$192</c15:sqref>
                        </c15:formulaRef>
                      </c:ext>
                    </c:extLst>
                    <c:strCache>
                      <c:ptCount val="1"/>
                      <c:pt idx="0">
                        <c:v>Correctiebedrag totaal</c:v>
                      </c:pt>
                    </c:strCache>
                  </c:strRef>
                </c:tx>
                <c:spPr>
                  <a:solidFill>
                    <a:schemeClr val="accent4"/>
                  </a:solidFill>
                  <a:ln>
                    <a:noFill/>
                  </a:ln>
                  <a:effectLst/>
                </c:spPr>
                <c:invertIfNegative val="0"/>
                <c:val>
                  <c:numRef>
                    <c:extLst>
                      <c:ext uri="{02D57815-91ED-43cb-92C2-25804820EDAC}">
                        <c15:formulaRef>
                          <c15:sqref>Steunberekening!$H$192:$Q$192</c15:sqref>
                        </c15:formulaRef>
                      </c:ext>
                    </c:extLst>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9-FC3C-4F8F-B6D9-A37FC3850CB4}"/>
                  </c:ext>
                </c:extLst>
              </c15:ser>
            </c15:filteredBarSeries>
          </c:ext>
        </c:extLst>
      </c:barChart>
      <c:lineChart>
        <c:grouping val="standard"/>
        <c:varyColors val="0"/>
        <c:ser>
          <c:idx val="0"/>
          <c:order val="0"/>
          <c:tx>
            <c:strRef>
              <c:f>Steunberekening!$A$189</c:f>
              <c:strCache>
                <c:ptCount val="1"/>
                <c:pt idx="0">
                  <c:v>Referentiebedrag</c:v>
                </c:pt>
              </c:strCache>
            </c:strRef>
          </c:tx>
          <c:spPr>
            <a:ln w="28575" cap="rnd">
              <a:solidFill>
                <a:schemeClr val="accent2">
                  <a:lumMod val="20000"/>
                  <a:lumOff val="80000"/>
                </a:schemeClr>
              </a:solidFill>
              <a:round/>
            </a:ln>
            <a:effectLst/>
          </c:spPr>
          <c:marker>
            <c:symbol val="none"/>
          </c:marker>
          <c:val>
            <c:numRef>
              <c:f>Steunberekening!$H$189:$Q$189</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6-FC3C-4F8F-B6D9-A37FC3850CB4}"/>
            </c:ext>
          </c:extLst>
        </c:ser>
        <c:ser>
          <c:idx val="1"/>
          <c:order val="1"/>
          <c:tx>
            <c:strRef>
              <c:f>Steunberekening!$A$190</c:f>
              <c:strCache>
                <c:ptCount val="1"/>
                <c:pt idx="0">
                  <c:v>Aanvraagbedrag</c:v>
                </c:pt>
              </c:strCache>
            </c:strRef>
          </c:tx>
          <c:spPr>
            <a:ln w="28575" cap="rnd">
              <a:solidFill>
                <a:schemeClr val="accent2"/>
              </a:solidFill>
              <a:round/>
            </a:ln>
            <a:effectLst/>
          </c:spPr>
          <c:marker>
            <c:symbol val="none"/>
          </c:marker>
          <c:val>
            <c:numRef>
              <c:f>Steunberekening!$H$190:$Q$190</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7-FC3C-4F8F-B6D9-A37FC3850CB4}"/>
            </c:ext>
          </c:extLst>
        </c:ser>
        <c:ser>
          <c:idx val="2"/>
          <c:order val="2"/>
          <c:tx>
            <c:strRef>
              <c:f>Steunberekening!$A$191</c:f>
              <c:strCache>
                <c:ptCount val="1"/>
                <c:pt idx="0">
                  <c:v>Bodembedrag</c:v>
                </c:pt>
              </c:strCache>
            </c:strRef>
          </c:tx>
          <c:spPr>
            <a:ln w="28575" cap="rnd">
              <a:solidFill>
                <a:schemeClr val="accent1">
                  <a:lumMod val="60000"/>
                  <a:lumOff val="40000"/>
                </a:schemeClr>
              </a:solidFill>
              <a:round/>
            </a:ln>
            <a:effectLst/>
          </c:spPr>
          <c:marker>
            <c:symbol val="none"/>
          </c:marker>
          <c:val>
            <c:numRef>
              <c:f>Steunberekening!$H$191:$Q$191</c:f>
              <c:numCache>
                <c:formatCode>0.00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8-FC3C-4F8F-B6D9-A37FC3850CB4}"/>
            </c:ext>
          </c:extLst>
        </c:ser>
        <c:dLbls>
          <c:showLegendKey val="0"/>
          <c:showVal val="0"/>
          <c:showCatName val="0"/>
          <c:showSerName val="0"/>
          <c:showPercent val="0"/>
          <c:showBubbleSize val="0"/>
        </c:dLbls>
        <c:marker val="1"/>
        <c:smooth val="0"/>
        <c:axId val="1972972160"/>
        <c:axId val="1972972640"/>
      </c:lineChart>
      <c:catAx>
        <c:axId val="197297216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1972972640"/>
        <c:crosses val="autoZero"/>
        <c:auto val="1"/>
        <c:lblAlgn val="ctr"/>
        <c:lblOffset val="100"/>
        <c:noMultiLvlLbl val="0"/>
      </c:catAx>
      <c:valAx>
        <c:axId val="19729726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1972972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Jaarlijks</a:t>
            </a:r>
            <a:r>
              <a:rPr lang="nl-BE" baseline="0"/>
              <a:t> steunbedrag (€/ton vermeden CO</a:t>
            </a:r>
            <a:r>
              <a:rPr lang="nl-BE" baseline="-25000"/>
              <a:t>2</a:t>
            </a:r>
            <a:r>
              <a:rPr lang="nl-BE" baseline="0"/>
              <a:t>)</a:t>
            </a:r>
            <a:endParaRPr lang="nl-B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barChart>
        <c:barDir val="col"/>
        <c:grouping val="stacked"/>
        <c:varyColors val="0"/>
        <c:ser>
          <c:idx val="4"/>
          <c:order val="4"/>
          <c:tx>
            <c:strRef>
              <c:f>'voorbeeld e-boiler'!$A$198</c:f>
              <c:strCache>
                <c:ptCount val="1"/>
                <c:pt idx="0">
                  <c:v>Steunbedrag</c:v>
                </c:pt>
              </c:strCache>
            </c:strRef>
          </c:tx>
          <c:spPr>
            <a:solidFill>
              <a:schemeClr val="accent6"/>
            </a:solidFill>
            <a:ln>
              <a:noFill/>
            </a:ln>
            <a:effectLst/>
          </c:spPr>
          <c:invertIfNegative val="0"/>
          <c:val>
            <c:numRef>
              <c:f>'voorbeeld e-boiler'!$H$198:$Q$198</c:f>
              <c:numCache>
                <c:formatCode>0.00</c:formatCode>
                <c:ptCount val="10"/>
                <c:pt idx="0">
                  <c:v>145.44000000000003</c:v>
                </c:pt>
                <c:pt idx="1">
                  <c:v>126.40546881203298</c:v>
                </c:pt>
                <c:pt idx="2">
                  <c:v>103.76430108672099</c:v>
                </c:pt>
                <c:pt idx="3">
                  <c:v>81.399559107021048</c:v>
                </c:pt>
                <c:pt idx="4">
                  <c:v>55.767398512470308</c:v>
                </c:pt>
                <c:pt idx="5">
                  <c:v>52.772677146363769</c:v>
                </c:pt>
                <c:pt idx="6">
                  <c:v>26.063225221968189</c:v>
                </c:pt>
                <c:pt idx="7">
                  <c:v>-0.50807641059583653</c:v>
                </c:pt>
                <c:pt idx="8">
                  <c:v>-30.076381152100979</c:v>
                </c:pt>
                <c:pt idx="9">
                  <c:v>-53.35074496983593</c:v>
                </c:pt>
              </c:numCache>
            </c:numRef>
          </c:val>
          <c:extLst xmlns:c15="http://schemas.microsoft.com/office/drawing/2012/chart">
            <c:ext xmlns:c16="http://schemas.microsoft.com/office/drawing/2014/chart" uri="{C3380CC4-5D6E-409C-BE32-E72D297353CC}">
              <c16:uniqueId val="{00000000-7550-4D03-A72C-527D0CE68061}"/>
            </c:ext>
          </c:extLst>
        </c:ser>
        <c:ser>
          <c:idx val="7"/>
          <c:order val="5"/>
          <c:tx>
            <c:strRef>
              <c:f>'voorbeeld e-boiler'!$A$193</c:f>
              <c:strCache>
                <c:ptCount val="1"/>
                <c:pt idx="0">
                  <c:v>Correctiebedrag gasprijs</c:v>
                </c:pt>
              </c:strCache>
            </c:strRef>
          </c:tx>
          <c:spPr>
            <a:solidFill>
              <a:schemeClr val="tx1">
                <a:lumMod val="75000"/>
                <a:lumOff val="25000"/>
              </a:schemeClr>
            </a:solidFill>
            <a:ln>
              <a:noFill/>
            </a:ln>
            <a:effectLst/>
          </c:spPr>
          <c:invertIfNegative val="0"/>
          <c:val>
            <c:numRef>
              <c:f>'voorbeeld e-boiler'!$H$193:$Q$193</c:f>
              <c:numCache>
                <c:formatCode>0.00</c:formatCode>
                <c:ptCount val="10"/>
                <c:pt idx="0">
                  <c:v>222.99698773272334</c:v>
                </c:pt>
                <c:pt idx="1">
                  <c:v>223.14578135589039</c:v>
                </c:pt>
                <c:pt idx="2">
                  <c:v>223.29755085152087</c:v>
                </c:pt>
                <c:pt idx="3">
                  <c:v>223.45235573706395</c:v>
                </c:pt>
                <c:pt idx="4">
                  <c:v>226.15539118348494</c:v>
                </c:pt>
                <c:pt idx="5">
                  <c:v>227.97650115462466</c:v>
                </c:pt>
                <c:pt idx="6">
                  <c:v>230.69867263799711</c:v>
                </c:pt>
                <c:pt idx="7">
                  <c:v>232.50148752498509</c:v>
                </c:pt>
                <c:pt idx="8">
                  <c:v>237.15151727548425</c:v>
                </c:pt>
                <c:pt idx="9">
                  <c:v>241.89454762099425</c:v>
                </c:pt>
              </c:numCache>
            </c:numRef>
          </c:val>
          <c:extLst>
            <c:ext xmlns:c16="http://schemas.microsoft.com/office/drawing/2014/chart" uri="{C3380CC4-5D6E-409C-BE32-E72D297353CC}">
              <c16:uniqueId val="{00000001-7550-4D03-A72C-527D0CE68061}"/>
            </c:ext>
          </c:extLst>
        </c:ser>
        <c:ser>
          <c:idx val="8"/>
          <c:order val="6"/>
          <c:tx>
            <c:strRef>
              <c:f>'voorbeeld e-boiler'!$A$194</c:f>
              <c:strCache>
                <c:ptCount val="1"/>
                <c:pt idx="0">
                  <c:v>Correctiebedrag ETS</c:v>
                </c:pt>
              </c:strCache>
            </c:strRef>
          </c:tx>
          <c:spPr>
            <a:solidFill>
              <a:schemeClr val="accent3">
                <a:lumMod val="60000"/>
              </a:schemeClr>
            </a:solidFill>
            <a:ln>
              <a:noFill/>
            </a:ln>
            <a:effectLst/>
          </c:spPr>
          <c:invertIfNegative val="0"/>
          <c:val>
            <c:numRef>
              <c:f>'voorbeeld e-boiler'!$H$194:$Q$194</c:f>
              <c:numCache>
                <c:formatCode>0.00</c:formatCode>
                <c:ptCount val="10"/>
                <c:pt idx="0">
                  <c:v>114.83872070703977</c:v>
                </c:pt>
                <c:pt idx="1">
                  <c:v>122.71337584123677</c:v>
                </c:pt>
                <c:pt idx="2">
                  <c:v>130.58803097543381</c:v>
                </c:pt>
                <c:pt idx="3">
                  <c:v>138.46268610963079</c:v>
                </c:pt>
                <c:pt idx="4">
                  <c:v>146.33734124382784</c:v>
                </c:pt>
                <c:pt idx="5">
                  <c:v>154.21199637802482</c:v>
                </c:pt>
                <c:pt idx="6">
                  <c:v>162.08665151222183</c:v>
                </c:pt>
                <c:pt idx="7">
                  <c:v>169.96130664641885</c:v>
                </c:pt>
                <c:pt idx="8">
                  <c:v>177.17974051943278</c:v>
                </c:pt>
                <c:pt idx="9">
                  <c:v>177.17974051943278</c:v>
                </c:pt>
              </c:numCache>
            </c:numRef>
          </c:val>
          <c:extLst>
            <c:ext xmlns:c16="http://schemas.microsoft.com/office/drawing/2014/chart" uri="{C3380CC4-5D6E-409C-BE32-E72D297353CC}">
              <c16:uniqueId val="{00000002-7550-4D03-A72C-527D0CE68061}"/>
            </c:ext>
          </c:extLst>
        </c:ser>
        <c:ser>
          <c:idx val="9"/>
          <c:order val="7"/>
          <c:tx>
            <c:strRef>
              <c:f>'voorbeeld e-boiler'!$A$195</c:f>
              <c:strCache>
                <c:ptCount val="1"/>
                <c:pt idx="0">
                  <c:v>Correctiebedrag elektriciteitsprijs</c:v>
                </c:pt>
              </c:strCache>
            </c:strRef>
          </c:tx>
          <c:spPr>
            <a:solidFill>
              <a:schemeClr val="bg1">
                <a:lumMod val="65000"/>
              </a:schemeClr>
            </a:solidFill>
            <a:ln>
              <a:noFill/>
            </a:ln>
            <a:effectLst/>
          </c:spPr>
          <c:invertIfNegative val="0"/>
          <c:val>
            <c:numRef>
              <c:f>'voorbeeld e-boiler'!$H$195:$Q$195</c:f>
              <c:numCache>
                <c:formatCode>0.00</c:formatCode>
                <c:ptCount val="10"/>
                <c:pt idx="0">
                  <c:v>-59.251942130800899</c:v>
                </c:pt>
                <c:pt idx="1">
                  <c:v>-46.288392318122355</c:v>
                </c:pt>
                <c:pt idx="2">
                  <c:v>-32.649882913675704</c:v>
                </c:pt>
                <c:pt idx="3">
                  <c:v>-18.314600953715797</c:v>
                </c:pt>
                <c:pt idx="4">
                  <c:v>-3.2601309397830365</c:v>
                </c:pt>
                <c:pt idx="5">
                  <c:v>-9.9611746790132596</c:v>
                </c:pt>
                <c:pt idx="6">
                  <c:v>6.1514506278128076</c:v>
                </c:pt>
                <c:pt idx="7">
                  <c:v>23.045282239191906</c:v>
                </c:pt>
                <c:pt idx="8">
                  <c:v>40.745123357183935</c:v>
                </c:pt>
                <c:pt idx="9">
                  <c:v>59.276456829408893</c:v>
                </c:pt>
              </c:numCache>
            </c:numRef>
          </c:val>
          <c:extLst>
            <c:ext xmlns:c16="http://schemas.microsoft.com/office/drawing/2014/chart" uri="{C3380CC4-5D6E-409C-BE32-E72D297353CC}">
              <c16:uniqueId val="{00000003-7550-4D03-A72C-527D0CE68061}"/>
            </c:ext>
          </c:extLst>
        </c:ser>
        <c:ser>
          <c:idx val="5"/>
          <c:order val="8"/>
          <c:tx>
            <c:v>Correctiebedrag CIE</c:v>
          </c:tx>
          <c:spPr>
            <a:solidFill>
              <a:schemeClr val="accent1">
                <a:lumMod val="40000"/>
                <a:lumOff val="60000"/>
              </a:schemeClr>
            </a:solidFill>
            <a:ln>
              <a:noFill/>
            </a:ln>
            <a:effectLst/>
          </c:spPr>
          <c:invertIfNegative val="0"/>
          <c:val>
            <c:numRef>
              <c:f>'voorbeeld e-boiler'!$H$196:$Q$196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550-4D03-A72C-527D0CE68061}"/>
            </c:ext>
          </c:extLst>
        </c:ser>
        <c:ser>
          <c:idx val="6"/>
          <c:order val="9"/>
          <c:tx>
            <c:v>Correctiebedrag bodembedrag</c:v>
          </c:tx>
          <c:spPr>
            <a:solidFill>
              <a:schemeClr val="bg1">
                <a:lumMod val="95000"/>
              </a:schemeClr>
            </a:solidFill>
            <a:ln>
              <a:noFill/>
            </a:ln>
            <a:effectLst/>
          </c:spPr>
          <c:invertIfNegative val="0"/>
          <c:val>
            <c:numRef>
              <c:f>'voorbeeld e-boiler'!$H$197:$Q$197</c:f>
              <c:numCache>
                <c:formatCode>0.00</c:formatCode>
                <c:ptCount val="10"/>
                <c:pt idx="0">
                  <c:v>0</c:v>
                </c:pt>
                <c:pt idx="1">
                  <c:v>-0.97623369103780533</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7550-4D03-A72C-527D0CE68061}"/>
            </c:ext>
          </c:extLst>
        </c:ser>
        <c:dLbls>
          <c:showLegendKey val="0"/>
          <c:showVal val="0"/>
          <c:showCatName val="0"/>
          <c:showSerName val="0"/>
          <c:showPercent val="0"/>
          <c:showBubbleSize val="0"/>
        </c:dLbls>
        <c:gapWidth val="150"/>
        <c:overlap val="100"/>
        <c:axId val="1972972160"/>
        <c:axId val="1972972640"/>
        <c:extLst>
          <c:ext xmlns:c15="http://schemas.microsoft.com/office/drawing/2012/chart" uri="{02D57815-91ED-43cb-92C2-25804820EDAC}">
            <c15:filteredBarSeries>
              <c15:ser>
                <c:idx val="3"/>
                <c:order val="3"/>
                <c:tx>
                  <c:strRef>
                    <c:extLst>
                      <c:ext uri="{02D57815-91ED-43cb-92C2-25804820EDAC}">
                        <c15:formulaRef>
                          <c15:sqref>'voorbeeld e-boiler'!$A$192</c15:sqref>
                        </c15:formulaRef>
                      </c:ext>
                    </c:extLst>
                    <c:strCache>
                      <c:ptCount val="1"/>
                      <c:pt idx="0">
                        <c:v>Correctiebedrag totaal</c:v>
                      </c:pt>
                    </c:strCache>
                  </c:strRef>
                </c:tx>
                <c:spPr>
                  <a:solidFill>
                    <a:schemeClr val="accent4"/>
                  </a:solidFill>
                  <a:ln>
                    <a:noFill/>
                  </a:ln>
                  <a:effectLst/>
                </c:spPr>
                <c:invertIfNegative val="0"/>
                <c:val>
                  <c:numRef>
                    <c:extLst>
                      <c:ext uri="{02D57815-91ED-43cb-92C2-25804820EDAC}">
                        <c15:formulaRef>
                          <c15:sqref>'voorbeeld e-boiler'!$H$192:$Q$192</c15:sqref>
                        </c15:formulaRef>
                      </c:ext>
                    </c:extLst>
                    <c:numCache>
                      <c:formatCode>0.00</c:formatCode>
                      <c:ptCount val="10"/>
                      <c:pt idx="0">
                        <c:v>278.5837663089622</c:v>
                      </c:pt>
                      <c:pt idx="1">
                        <c:v>298.59453118796705</c:v>
                      </c:pt>
                      <c:pt idx="2">
                        <c:v>321.23569891327901</c:v>
                      </c:pt>
                      <c:pt idx="3">
                        <c:v>343.60044089297895</c:v>
                      </c:pt>
                      <c:pt idx="4">
                        <c:v>369.23260148752973</c:v>
                      </c:pt>
                      <c:pt idx="5">
                        <c:v>372.22732285363622</c:v>
                      </c:pt>
                      <c:pt idx="6">
                        <c:v>398.9367747780318</c:v>
                      </c:pt>
                      <c:pt idx="7">
                        <c:v>425.50807641059583</c:v>
                      </c:pt>
                      <c:pt idx="8">
                        <c:v>455.07638115210096</c:v>
                      </c:pt>
                      <c:pt idx="9">
                        <c:v>478.35074496983594</c:v>
                      </c:pt>
                    </c:numCache>
                  </c:numRef>
                </c:val>
                <c:extLst>
                  <c:ext xmlns:c16="http://schemas.microsoft.com/office/drawing/2014/chart" uri="{C3380CC4-5D6E-409C-BE32-E72D297353CC}">
                    <c16:uniqueId val="{00000009-7550-4D03-A72C-527D0CE68061}"/>
                  </c:ext>
                </c:extLst>
              </c15:ser>
            </c15:filteredBarSeries>
          </c:ext>
        </c:extLst>
      </c:barChart>
      <c:lineChart>
        <c:grouping val="standard"/>
        <c:varyColors val="0"/>
        <c:ser>
          <c:idx val="0"/>
          <c:order val="0"/>
          <c:tx>
            <c:strRef>
              <c:f>'voorbeeld e-boiler'!$A$189</c:f>
              <c:strCache>
                <c:ptCount val="1"/>
                <c:pt idx="0">
                  <c:v>Referentiebedrag</c:v>
                </c:pt>
              </c:strCache>
            </c:strRef>
          </c:tx>
          <c:spPr>
            <a:ln w="28575" cap="rnd">
              <a:solidFill>
                <a:schemeClr val="accent2">
                  <a:lumMod val="20000"/>
                  <a:lumOff val="80000"/>
                </a:schemeClr>
              </a:solidFill>
              <a:round/>
            </a:ln>
            <a:effectLst/>
          </c:spPr>
          <c:marker>
            <c:symbol val="none"/>
          </c:marker>
          <c:val>
            <c:numRef>
              <c:f>'voorbeeld e-boiler'!$H$189:$Q$189</c:f>
              <c:numCache>
                <c:formatCode>0.00</c:formatCode>
                <c:ptCount val="10"/>
                <c:pt idx="0">
                  <c:v>444.72</c:v>
                </c:pt>
                <c:pt idx="1">
                  <c:v>444.72</c:v>
                </c:pt>
                <c:pt idx="2">
                  <c:v>444.72</c:v>
                </c:pt>
                <c:pt idx="3">
                  <c:v>444.72</c:v>
                </c:pt>
                <c:pt idx="4">
                  <c:v>444.72</c:v>
                </c:pt>
                <c:pt idx="5">
                  <c:v>444.72</c:v>
                </c:pt>
                <c:pt idx="6">
                  <c:v>444.72</c:v>
                </c:pt>
                <c:pt idx="7">
                  <c:v>444.72</c:v>
                </c:pt>
                <c:pt idx="8">
                  <c:v>444.72</c:v>
                </c:pt>
                <c:pt idx="9">
                  <c:v>444.72</c:v>
                </c:pt>
              </c:numCache>
            </c:numRef>
          </c:val>
          <c:smooth val="0"/>
          <c:extLst>
            <c:ext xmlns:c16="http://schemas.microsoft.com/office/drawing/2014/chart" uri="{C3380CC4-5D6E-409C-BE32-E72D297353CC}">
              <c16:uniqueId val="{00000006-7550-4D03-A72C-527D0CE68061}"/>
            </c:ext>
          </c:extLst>
        </c:ser>
        <c:ser>
          <c:idx val="1"/>
          <c:order val="1"/>
          <c:tx>
            <c:strRef>
              <c:f>'voorbeeld e-boiler'!$A$190</c:f>
              <c:strCache>
                <c:ptCount val="1"/>
                <c:pt idx="0">
                  <c:v>Aanvraagbedrag</c:v>
                </c:pt>
              </c:strCache>
            </c:strRef>
          </c:tx>
          <c:spPr>
            <a:ln w="28575" cap="rnd">
              <a:solidFill>
                <a:schemeClr val="accent2"/>
              </a:solidFill>
              <a:round/>
            </a:ln>
            <a:effectLst/>
          </c:spPr>
          <c:marker>
            <c:symbol val="none"/>
          </c:marker>
          <c:val>
            <c:numRef>
              <c:f>'voorbeeld e-boiler'!$H$190:$Q$190</c:f>
              <c:numCache>
                <c:formatCode>0.00</c:formatCode>
                <c:ptCount val="10"/>
                <c:pt idx="0">
                  <c:v>425</c:v>
                </c:pt>
                <c:pt idx="1">
                  <c:v>425</c:v>
                </c:pt>
                <c:pt idx="2">
                  <c:v>425</c:v>
                </c:pt>
                <c:pt idx="3">
                  <c:v>425</c:v>
                </c:pt>
                <c:pt idx="4">
                  <c:v>425</c:v>
                </c:pt>
                <c:pt idx="5">
                  <c:v>425</c:v>
                </c:pt>
                <c:pt idx="6">
                  <c:v>425</c:v>
                </c:pt>
                <c:pt idx="7">
                  <c:v>425</c:v>
                </c:pt>
                <c:pt idx="8">
                  <c:v>425</c:v>
                </c:pt>
                <c:pt idx="9">
                  <c:v>425</c:v>
                </c:pt>
              </c:numCache>
            </c:numRef>
          </c:val>
          <c:smooth val="0"/>
          <c:extLst>
            <c:ext xmlns:c16="http://schemas.microsoft.com/office/drawing/2014/chart" uri="{C3380CC4-5D6E-409C-BE32-E72D297353CC}">
              <c16:uniqueId val="{00000007-7550-4D03-A72C-527D0CE68061}"/>
            </c:ext>
          </c:extLst>
        </c:ser>
        <c:ser>
          <c:idx val="2"/>
          <c:order val="2"/>
          <c:tx>
            <c:strRef>
              <c:f>'voorbeeld e-boiler'!$A$191</c:f>
              <c:strCache>
                <c:ptCount val="1"/>
                <c:pt idx="0">
                  <c:v>Bodembedrag</c:v>
                </c:pt>
              </c:strCache>
            </c:strRef>
          </c:tx>
          <c:spPr>
            <a:ln w="28575" cap="rnd">
              <a:solidFill>
                <a:schemeClr val="accent1">
                  <a:lumMod val="60000"/>
                  <a:lumOff val="40000"/>
                </a:schemeClr>
              </a:solidFill>
              <a:round/>
            </a:ln>
            <a:effectLst/>
          </c:spPr>
          <c:marker>
            <c:symbol val="none"/>
          </c:marker>
          <c:val>
            <c:numRef>
              <c:f>'voorbeeld e-boiler'!$H$191:$Q$191</c:f>
              <c:numCache>
                <c:formatCode>0.00</c:formatCode>
                <c:ptCount val="10"/>
                <c:pt idx="0">
                  <c:v>279.56</c:v>
                </c:pt>
                <c:pt idx="1">
                  <c:v>279.56</c:v>
                </c:pt>
                <c:pt idx="2">
                  <c:v>279.56</c:v>
                </c:pt>
                <c:pt idx="3">
                  <c:v>279.56</c:v>
                </c:pt>
                <c:pt idx="4">
                  <c:v>279.56</c:v>
                </c:pt>
                <c:pt idx="5">
                  <c:v>279.56</c:v>
                </c:pt>
                <c:pt idx="6">
                  <c:v>279.56</c:v>
                </c:pt>
                <c:pt idx="7">
                  <c:v>279.56</c:v>
                </c:pt>
                <c:pt idx="8">
                  <c:v>279.56</c:v>
                </c:pt>
                <c:pt idx="9">
                  <c:v>279.56</c:v>
                </c:pt>
              </c:numCache>
            </c:numRef>
          </c:val>
          <c:smooth val="0"/>
          <c:extLst>
            <c:ext xmlns:c16="http://schemas.microsoft.com/office/drawing/2014/chart" uri="{C3380CC4-5D6E-409C-BE32-E72D297353CC}">
              <c16:uniqueId val="{00000008-7550-4D03-A72C-527D0CE68061}"/>
            </c:ext>
          </c:extLst>
        </c:ser>
        <c:dLbls>
          <c:showLegendKey val="0"/>
          <c:showVal val="0"/>
          <c:showCatName val="0"/>
          <c:showSerName val="0"/>
          <c:showPercent val="0"/>
          <c:showBubbleSize val="0"/>
        </c:dLbls>
        <c:marker val="1"/>
        <c:smooth val="0"/>
        <c:axId val="1972972160"/>
        <c:axId val="1972972640"/>
      </c:lineChart>
      <c:catAx>
        <c:axId val="197297216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1972972640"/>
        <c:crosses val="autoZero"/>
        <c:auto val="1"/>
        <c:lblAlgn val="ctr"/>
        <c:lblOffset val="100"/>
        <c:noMultiLvlLbl val="0"/>
      </c:catAx>
      <c:valAx>
        <c:axId val="19729726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1972972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Jaarlijks</a:t>
            </a:r>
            <a:r>
              <a:rPr lang="nl-BE" baseline="0"/>
              <a:t> steunbedrag (€/ton vermeden CO</a:t>
            </a:r>
            <a:r>
              <a:rPr lang="nl-BE" baseline="-25000"/>
              <a:t>2</a:t>
            </a:r>
            <a:r>
              <a:rPr lang="nl-BE" baseline="0"/>
              <a:t>)</a:t>
            </a:r>
            <a:endParaRPr lang="nl-B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barChart>
        <c:barDir val="col"/>
        <c:grouping val="stacked"/>
        <c:varyColors val="0"/>
        <c:ser>
          <c:idx val="4"/>
          <c:order val="4"/>
          <c:tx>
            <c:strRef>
              <c:f>'voorbeeld MVR'!$A$198</c:f>
              <c:strCache>
                <c:ptCount val="1"/>
                <c:pt idx="0">
                  <c:v>Steunbedrag</c:v>
                </c:pt>
              </c:strCache>
            </c:strRef>
          </c:tx>
          <c:spPr>
            <a:solidFill>
              <a:schemeClr val="accent6"/>
            </a:solidFill>
            <a:ln>
              <a:noFill/>
            </a:ln>
            <a:effectLst/>
          </c:spPr>
          <c:invertIfNegative val="0"/>
          <c:val>
            <c:numRef>
              <c:f>'voorbeeld MVR'!$H$198:$Q$198</c:f>
              <c:numCache>
                <c:formatCode>0.00</c:formatCode>
                <c:ptCount val="10"/>
                <c:pt idx="0">
                  <c:v>76.599886166436519</c:v>
                </c:pt>
                <c:pt idx="1">
                  <c:v>69.95303543274828</c:v>
                </c:pt>
                <c:pt idx="2">
                  <c:v>63.314130323951815</c:v>
                </c:pt>
                <c:pt idx="3">
                  <c:v>56.683329752545141</c:v>
                </c:pt>
                <c:pt idx="4">
                  <c:v>67.528217620531706</c:v>
                </c:pt>
                <c:pt idx="5">
                  <c:v>58.50792140977596</c:v>
                </c:pt>
                <c:pt idx="6">
                  <c:v>48.610850891278105</c:v>
                </c:pt>
                <c:pt idx="7">
                  <c:v>39.462737556775714</c:v>
                </c:pt>
                <c:pt idx="8">
                  <c:v>28.278502912986454</c:v>
                </c:pt>
                <c:pt idx="9">
                  <c:v>26.842279979428099</c:v>
                </c:pt>
              </c:numCache>
            </c:numRef>
          </c:val>
          <c:extLst xmlns:c15="http://schemas.microsoft.com/office/drawing/2012/chart">
            <c:ext xmlns:c16="http://schemas.microsoft.com/office/drawing/2014/chart" uri="{C3380CC4-5D6E-409C-BE32-E72D297353CC}">
              <c16:uniqueId val="{00000000-704E-478C-B41C-896E3A2E6C0B}"/>
            </c:ext>
          </c:extLst>
        </c:ser>
        <c:ser>
          <c:idx val="7"/>
          <c:order val="5"/>
          <c:tx>
            <c:strRef>
              <c:f>'voorbeeld MVR'!$A$193</c:f>
              <c:strCache>
                <c:ptCount val="1"/>
                <c:pt idx="0">
                  <c:v>Correctiebedrag gasprijs</c:v>
                </c:pt>
              </c:strCache>
            </c:strRef>
          </c:tx>
          <c:spPr>
            <a:solidFill>
              <a:schemeClr val="tx1">
                <a:lumMod val="75000"/>
                <a:lumOff val="25000"/>
              </a:schemeClr>
            </a:solidFill>
            <a:ln>
              <a:noFill/>
            </a:ln>
            <a:effectLst/>
          </c:spPr>
          <c:invertIfNegative val="0"/>
          <c:val>
            <c:numRef>
              <c:f>'voorbeeld MVR'!$H$193:$Q$193</c:f>
              <c:numCache>
                <c:formatCode>0.00</c:formatCode>
                <c:ptCount val="10"/>
                <c:pt idx="0">
                  <c:v>199.47796894966194</c:v>
                </c:pt>
                <c:pt idx="1">
                  <c:v>199.61106962534282</c:v>
                </c:pt>
                <c:pt idx="2">
                  <c:v>199.74683231453739</c:v>
                </c:pt>
                <c:pt idx="3">
                  <c:v>199.88531025751584</c:v>
                </c:pt>
                <c:pt idx="4">
                  <c:v>202.30326229504408</c:v>
                </c:pt>
                <c:pt idx="5">
                  <c:v>203.93230366448327</c:v>
                </c:pt>
                <c:pt idx="6">
                  <c:v>206.3673735017793</c:v>
                </c:pt>
                <c:pt idx="7">
                  <c:v>207.98004933074435</c:v>
                </c:pt>
                <c:pt idx="8">
                  <c:v>212.13965031735873</c:v>
                </c:pt>
                <c:pt idx="9">
                  <c:v>216.38244332370621</c:v>
                </c:pt>
              </c:numCache>
            </c:numRef>
          </c:val>
          <c:extLst>
            <c:ext xmlns:c16="http://schemas.microsoft.com/office/drawing/2014/chart" uri="{C3380CC4-5D6E-409C-BE32-E72D297353CC}">
              <c16:uniqueId val="{00000001-704E-478C-B41C-896E3A2E6C0B}"/>
            </c:ext>
          </c:extLst>
        </c:ser>
        <c:ser>
          <c:idx val="8"/>
          <c:order val="6"/>
          <c:tx>
            <c:strRef>
              <c:f>'voorbeeld MVR'!$A$194</c:f>
              <c:strCache>
                <c:ptCount val="1"/>
                <c:pt idx="0">
                  <c:v>Correctiebedrag ETS</c:v>
                </c:pt>
              </c:strCache>
            </c:strRef>
          </c:tx>
          <c:spPr>
            <a:solidFill>
              <a:schemeClr val="accent3">
                <a:lumMod val="60000"/>
              </a:schemeClr>
            </a:solidFill>
            <a:ln>
              <a:noFill/>
            </a:ln>
            <a:effectLst/>
          </c:spPr>
          <c:invertIfNegative val="0"/>
          <c:val>
            <c:numRef>
              <c:f>'voorbeeld MVR'!$H$194:$Q$194</c:f>
              <c:numCache>
                <c:formatCode>0.00</c:formatCode>
                <c:ptCount val="10"/>
                <c:pt idx="0">
                  <c:v>102.72692468327998</c:v>
                </c:pt>
                <c:pt idx="1">
                  <c:v>109.77105666156201</c:v>
                </c:pt>
                <c:pt idx="2">
                  <c:v>116.8151886398441</c:v>
                </c:pt>
                <c:pt idx="3">
                  <c:v>123.85932061812613</c:v>
                </c:pt>
                <c:pt idx="4">
                  <c:v>130.90345259640821</c:v>
                </c:pt>
                <c:pt idx="5">
                  <c:v>137.94758457469024</c:v>
                </c:pt>
                <c:pt idx="6">
                  <c:v>144.99171655297229</c:v>
                </c:pt>
                <c:pt idx="7">
                  <c:v>152.03584853125435</c:v>
                </c:pt>
                <c:pt idx="8">
                  <c:v>158.49296951134625</c:v>
                </c:pt>
                <c:pt idx="9">
                  <c:v>158.49296951134625</c:v>
                </c:pt>
              </c:numCache>
            </c:numRef>
          </c:val>
          <c:extLst>
            <c:ext xmlns:c16="http://schemas.microsoft.com/office/drawing/2014/chart" uri="{C3380CC4-5D6E-409C-BE32-E72D297353CC}">
              <c16:uniqueId val="{00000002-704E-478C-B41C-896E3A2E6C0B}"/>
            </c:ext>
          </c:extLst>
        </c:ser>
        <c:ser>
          <c:idx val="9"/>
          <c:order val="7"/>
          <c:tx>
            <c:strRef>
              <c:f>'voorbeeld MVR'!$A$195</c:f>
              <c:strCache>
                <c:ptCount val="1"/>
                <c:pt idx="0">
                  <c:v>Correctiebedrag elektriciteitsprijs</c:v>
                </c:pt>
              </c:strCache>
            </c:strRef>
          </c:tx>
          <c:spPr>
            <a:solidFill>
              <a:schemeClr val="bg1">
                <a:lumMod val="65000"/>
              </a:schemeClr>
            </a:solidFill>
            <a:ln>
              <a:noFill/>
            </a:ln>
            <a:effectLst/>
          </c:spPr>
          <c:invertIfNegative val="0"/>
          <c:val>
            <c:numRef>
              <c:f>'voorbeeld MVR'!$H$195:$Q$195</c:f>
              <c:numCache>
                <c:formatCode>0.00</c:formatCode>
                <c:ptCount val="10"/>
                <c:pt idx="0">
                  <c:v>21.195220200621655</c:v>
                </c:pt>
                <c:pt idx="1">
                  <c:v>20.664838280346924</c:v>
                </c:pt>
                <c:pt idx="2">
                  <c:v>20.123848721666715</c:v>
                </c:pt>
                <c:pt idx="3">
                  <c:v>19.572039371812892</c:v>
                </c:pt>
                <c:pt idx="4">
                  <c:v>-0.73493251198396159</c:v>
                </c:pt>
                <c:pt idx="5">
                  <c:v>-0.38780964894945924</c:v>
                </c:pt>
                <c:pt idx="6">
                  <c:v>3.0059053970354917E-2</c:v>
                </c:pt>
                <c:pt idx="7">
                  <c:v>0.52136458122570428</c:v>
                </c:pt>
                <c:pt idx="8">
                  <c:v>1.0888772583086557</c:v>
                </c:pt>
                <c:pt idx="9">
                  <c:v>-1.7176928144805217</c:v>
                </c:pt>
              </c:numCache>
            </c:numRef>
          </c:val>
          <c:extLst>
            <c:ext xmlns:c16="http://schemas.microsoft.com/office/drawing/2014/chart" uri="{C3380CC4-5D6E-409C-BE32-E72D297353CC}">
              <c16:uniqueId val="{00000003-704E-478C-B41C-896E3A2E6C0B}"/>
            </c:ext>
          </c:extLst>
        </c:ser>
        <c:ser>
          <c:idx val="5"/>
          <c:order val="8"/>
          <c:tx>
            <c:v>Correctiebedrag CIE</c:v>
          </c:tx>
          <c:spPr>
            <a:solidFill>
              <a:schemeClr val="accent1">
                <a:lumMod val="40000"/>
                <a:lumOff val="60000"/>
              </a:schemeClr>
            </a:solidFill>
            <a:ln>
              <a:noFill/>
            </a:ln>
            <a:effectLst/>
          </c:spPr>
          <c:invertIfNegative val="0"/>
          <c:val>
            <c:numRef>
              <c:f>'voorbeeld MVR'!$H$196:$Q$196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04E-478C-B41C-896E3A2E6C0B}"/>
            </c:ext>
          </c:extLst>
        </c:ser>
        <c:ser>
          <c:idx val="6"/>
          <c:order val="9"/>
          <c:tx>
            <c:v>Correctiebedrag bodembedrag</c:v>
          </c:tx>
          <c:spPr>
            <a:solidFill>
              <a:schemeClr val="bg1">
                <a:lumMod val="95000"/>
              </a:schemeClr>
            </a:solidFill>
            <a:ln>
              <a:noFill/>
            </a:ln>
            <a:effectLst/>
          </c:spPr>
          <c:invertIfNegative val="0"/>
          <c:val>
            <c:numRef>
              <c:f>'voorbeeld MVR'!$H$197:$Q$197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704E-478C-B41C-896E3A2E6C0B}"/>
            </c:ext>
          </c:extLst>
        </c:ser>
        <c:dLbls>
          <c:showLegendKey val="0"/>
          <c:showVal val="0"/>
          <c:showCatName val="0"/>
          <c:showSerName val="0"/>
          <c:showPercent val="0"/>
          <c:showBubbleSize val="0"/>
        </c:dLbls>
        <c:gapWidth val="150"/>
        <c:overlap val="100"/>
        <c:axId val="1972972160"/>
        <c:axId val="1972972640"/>
        <c:extLst>
          <c:ext xmlns:c15="http://schemas.microsoft.com/office/drawing/2012/chart" uri="{02D57815-91ED-43cb-92C2-25804820EDAC}">
            <c15:filteredBarSeries>
              <c15:ser>
                <c:idx val="3"/>
                <c:order val="3"/>
                <c:tx>
                  <c:strRef>
                    <c:extLst>
                      <c:ext uri="{02D57815-91ED-43cb-92C2-25804820EDAC}">
                        <c15:formulaRef>
                          <c15:sqref>'voorbeeld MVR'!$A$192</c15:sqref>
                        </c15:formulaRef>
                      </c:ext>
                    </c:extLst>
                    <c:strCache>
                      <c:ptCount val="1"/>
                      <c:pt idx="0">
                        <c:v>Correctiebedrag totaal</c:v>
                      </c:pt>
                    </c:strCache>
                  </c:strRef>
                </c:tx>
                <c:spPr>
                  <a:solidFill>
                    <a:schemeClr val="accent4"/>
                  </a:solidFill>
                  <a:ln>
                    <a:noFill/>
                  </a:ln>
                  <a:effectLst/>
                </c:spPr>
                <c:invertIfNegative val="0"/>
                <c:val>
                  <c:numRef>
                    <c:extLst>
                      <c:ext uri="{02D57815-91ED-43cb-92C2-25804820EDAC}">
                        <c15:formulaRef>
                          <c15:sqref>'voorbeeld MVR'!$H$192:$Q$192</c15:sqref>
                        </c15:formulaRef>
                      </c:ext>
                    </c:extLst>
                    <c:numCache>
                      <c:formatCode>0.00</c:formatCode>
                      <c:ptCount val="10"/>
                      <c:pt idx="0">
                        <c:v>323.40011383356352</c:v>
                      </c:pt>
                      <c:pt idx="1">
                        <c:v>330.04696456725179</c:v>
                      </c:pt>
                      <c:pt idx="2">
                        <c:v>336.68586967604824</c:v>
                      </c:pt>
                      <c:pt idx="3">
                        <c:v>343.31667024745491</c:v>
                      </c:pt>
                      <c:pt idx="4">
                        <c:v>332.47178237946832</c:v>
                      </c:pt>
                      <c:pt idx="5">
                        <c:v>341.49207859022414</c:v>
                      </c:pt>
                      <c:pt idx="6">
                        <c:v>351.38914910872199</c:v>
                      </c:pt>
                      <c:pt idx="7">
                        <c:v>360.53726244322439</c:v>
                      </c:pt>
                      <c:pt idx="8">
                        <c:v>371.72149708701363</c:v>
                      </c:pt>
                      <c:pt idx="9">
                        <c:v>373.15772002057196</c:v>
                      </c:pt>
                    </c:numCache>
                  </c:numRef>
                </c:val>
                <c:extLst>
                  <c:ext xmlns:c16="http://schemas.microsoft.com/office/drawing/2014/chart" uri="{C3380CC4-5D6E-409C-BE32-E72D297353CC}">
                    <c16:uniqueId val="{00000009-704E-478C-B41C-896E3A2E6C0B}"/>
                  </c:ext>
                </c:extLst>
              </c15:ser>
            </c15:filteredBarSeries>
          </c:ext>
        </c:extLst>
      </c:barChart>
      <c:lineChart>
        <c:grouping val="standard"/>
        <c:varyColors val="0"/>
        <c:ser>
          <c:idx val="0"/>
          <c:order val="0"/>
          <c:tx>
            <c:strRef>
              <c:f>'voorbeeld MVR'!$A$189</c:f>
              <c:strCache>
                <c:ptCount val="1"/>
                <c:pt idx="0">
                  <c:v>Referentiebedrag</c:v>
                </c:pt>
              </c:strCache>
            </c:strRef>
          </c:tx>
          <c:spPr>
            <a:ln w="28575" cap="rnd">
              <a:solidFill>
                <a:schemeClr val="accent2">
                  <a:lumMod val="20000"/>
                  <a:lumOff val="80000"/>
                </a:schemeClr>
              </a:solidFill>
              <a:round/>
            </a:ln>
            <a:effectLst/>
          </c:spPr>
          <c:marker>
            <c:symbol val="none"/>
          </c:marker>
          <c:val>
            <c:numRef>
              <c:f>'voorbeeld MVR'!$H$189:$Q$189</c:f>
              <c:numCache>
                <c:formatCode>0.00</c:formatCode>
                <c:ptCount val="10"/>
                <c:pt idx="0">
                  <c:v>469.54314720812187</c:v>
                </c:pt>
                <c:pt idx="1">
                  <c:v>469.54314720812187</c:v>
                </c:pt>
                <c:pt idx="2">
                  <c:v>469.54314720812187</c:v>
                </c:pt>
                <c:pt idx="3">
                  <c:v>469.54314720812187</c:v>
                </c:pt>
                <c:pt idx="4">
                  <c:v>469.54314720812187</c:v>
                </c:pt>
                <c:pt idx="5">
                  <c:v>469.54314720812187</c:v>
                </c:pt>
                <c:pt idx="6">
                  <c:v>469.54314720812187</c:v>
                </c:pt>
                <c:pt idx="7">
                  <c:v>469.54314720812187</c:v>
                </c:pt>
                <c:pt idx="8">
                  <c:v>469.54314720812187</c:v>
                </c:pt>
                <c:pt idx="9">
                  <c:v>469.54314720812187</c:v>
                </c:pt>
              </c:numCache>
            </c:numRef>
          </c:val>
          <c:smooth val="0"/>
          <c:extLst>
            <c:ext xmlns:c16="http://schemas.microsoft.com/office/drawing/2014/chart" uri="{C3380CC4-5D6E-409C-BE32-E72D297353CC}">
              <c16:uniqueId val="{00000006-704E-478C-B41C-896E3A2E6C0B}"/>
            </c:ext>
          </c:extLst>
        </c:ser>
        <c:ser>
          <c:idx val="1"/>
          <c:order val="1"/>
          <c:tx>
            <c:strRef>
              <c:f>'voorbeeld MVR'!$A$190</c:f>
              <c:strCache>
                <c:ptCount val="1"/>
                <c:pt idx="0">
                  <c:v>Aanvraagbedrag</c:v>
                </c:pt>
              </c:strCache>
            </c:strRef>
          </c:tx>
          <c:spPr>
            <a:ln w="28575" cap="rnd">
              <a:solidFill>
                <a:schemeClr val="accent2"/>
              </a:solidFill>
              <a:round/>
            </a:ln>
            <a:effectLst/>
          </c:spPr>
          <c:marker>
            <c:symbol val="none"/>
          </c:marker>
          <c:val>
            <c:numRef>
              <c:f>'voorbeeld MVR'!$H$190:$Q$190</c:f>
              <c:numCache>
                <c:formatCode>0.00</c:formatCode>
                <c:ptCount val="10"/>
                <c:pt idx="0">
                  <c:v>400</c:v>
                </c:pt>
                <c:pt idx="1">
                  <c:v>400</c:v>
                </c:pt>
                <c:pt idx="2">
                  <c:v>400</c:v>
                </c:pt>
                <c:pt idx="3">
                  <c:v>400</c:v>
                </c:pt>
                <c:pt idx="4">
                  <c:v>400</c:v>
                </c:pt>
                <c:pt idx="5">
                  <c:v>400</c:v>
                </c:pt>
                <c:pt idx="6">
                  <c:v>400</c:v>
                </c:pt>
                <c:pt idx="7">
                  <c:v>400</c:v>
                </c:pt>
                <c:pt idx="8">
                  <c:v>400</c:v>
                </c:pt>
                <c:pt idx="9">
                  <c:v>400</c:v>
                </c:pt>
              </c:numCache>
            </c:numRef>
          </c:val>
          <c:smooth val="0"/>
          <c:extLst>
            <c:ext xmlns:c16="http://schemas.microsoft.com/office/drawing/2014/chart" uri="{C3380CC4-5D6E-409C-BE32-E72D297353CC}">
              <c16:uniqueId val="{00000007-704E-478C-B41C-896E3A2E6C0B}"/>
            </c:ext>
          </c:extLst>
        </c:ser>
        <c:ser>
          <c:idx val="2"/>
          <c:order val="2"/>
          <c:tx>
            <c:strRef>
              <c:f>'voorbeeld MVR'!$A$191</c:f>
              <c:strCache>
                <c:ptCount val="1"/>
                <c:pt idx="0">
                  <c:v>Bodembedrag</c:v>
                </c:pt>
              </c:strCache>
            </c:strRef>
          </c:tx>
          <c:spPr>
            <a:ln w="28575" cap="rnd">
              <a:solidFill>
                <a:schemeClr val="accent1">
                  <a:lumMod val="60000"/>
                  <a:lumOff val="40000"/>
                </a:schemeClr>
              </a:solidFill>
              <a:round/>
            </a:ln>
            <a:effectLst/>
          </c:spPr>
          <c:marker>
            <c:symbol val="none"/>
          </c:marker>
          <c:val>
            <c:numRef>
              <c:f>'voorbeeld MVR'!$H$191:$Q$191</c:f>
              <c:numCache>
                <c:formatCode>0.00</c:formatCode>
                <c:ptCount val="10"/>
                <c:pt idx="0">
                  <c:v>233.8</c:v>
                </c:pt>
                <c:pt idx="1">
                  <c:v>233.8</c:v>
                </c:pt>
                <c:pt idx="2">
                  <c:v>233.8</c:v>
                </c:pt>
                <c:pt idx="3">
                  <c:v>233.8</c:v>
                </c:pt>
                <c:pt idx="4">
                  <c:v>233.8</c:v>
                </c:pt>
                <c:pt idx="5">
                  <c:v>233.8</c:v>
                </c:pt>
                <c:pt idx="6">
                  <c:v>233.8</c:v>
                </c:pt>
                <c:pt idx="7">
                  <c:v>233.8</c:v>
                </c:pt>
                <c:pt idx="8">
                  <c:v>233.8</c:v>
                </c:pt>
                <c:pt idx="9">
                  <c:v>233.8</c:v>
                </c:pt>
              </c:numCache>
            </c:numRef>
          </c:val>
          <c:smooth val="0"/>
          <c:extLst>
            <c:ext xmlns:c16="http://schemas.microsoft.com/office/drawing/2014/chart" uri="{C3380CC4-5D6E-409C-BE32-E72D297353CC}">
              <c16:uniqueId val="{00000008-704E-478C-B41C-896E3A2E6C0B}"/>
            </c:ext>
          </c:extLst>
        </c:ser>
        <c:dLbls>
          <c:showLegendKey val="0"/>
          <c:showVal val="0"/>
          <c:showCatName val="0"/>
          <c:showSerName val="0"/>
          <c:showPercent val="0"/>
          <c:showBubbleSize val="0"/>
        </c:dLbls>
        <c:marker val="1"/>
        <c:smooth val="0"/>
        <c:axId val="1972972160"/>
        <c:axId val="1972972640"/>
      </c:lineChart>
      <c:catAx>
        <c:axId val="197297216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1972972640"/>
        <c:crosses val="autoZero"/>
        <c:auto val="1"/>
        <c:lblAlgn val="ctr"/>
        <c:lblOffset val="100"/>
        <c:noMultiLvlLbl val="0"/>
      </c:catAx>
      <c:valAx>
        <c:axId val="19729726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1972972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5.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5.png"/><Relationship Id="rId1" Type="http://schemas.openxmlformats.org/officeDocument/2006/relationships/image" Target="../media/image4.jpe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5.png"/><Relationship Id="rId1" Type="http://schemas.openxmlformats.org/officeDocument/2006/relationships/image" Target="../media/image4.jpe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5.png"/><Relationship Id="rId1" Type="http://schemas.openxmlformats.org/officeDocument/2006/relationships/image" Target="../media/image4.jpeg"/><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12</xdr:col>
      <xdr:colOff>400050</xdr:colOff>
      <xdr:row>0</xdr:row>
      <xdr:rowOff>114300</xdr:rowOff>
    </xdr:from>
    <xdr:to>
      <xdr:col>14</xdr:col>
      <xdr:colOff>495300</xdr:colOff>
      <xdr:row>2</xdr:row>
      <xdr:rowOff>110695</xdr:rowOff>
    </xdr:to>
    <xdr:pic>
      <xdr:nvPicPr>
        <xdr:cNvPr id="6" name="Picture 1">
          <a:extLst>
            <a:ext uri="{FF2B5EF4-FFF2-40B4-BE49-F238E27FC236}">
              <a16:creationId xmlns:a16="http://schemas.microsoft.com/office/drawing/2014/main" id="{55FF602B-0F12-4BC4-ADBA-2AECDD232D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7675" y="114300"/>
          <a:ext cx="1276350" cy="524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485775</xdr:colOff>
      <xdr:row>0</xdr:row>
      <xdr:rowOff>95250</xdr:rowOff>
    </xdr:from>
    <xdr:to>
      <xdr:col>12</xdr:col>
      <xdr:colOff>300089</xdr:colOff>
      <xdr:row>3</xdr:row>
      <xdr:rowOff>3156</xdr:rowOff>
    </xdr:to>
    <xdr:pic>
      <xdr:nvPicPr>
        <xdr:cNvPr id="7" name="Picture 2">
          <a:extLst>
            <a:ext uri="{FF2B5EF4-FFF2-40B4-BE49-F238E27FC236}">
              <a16:creationId xmlns:a16="http://schemas.microsoft.com/office/drawing/2014/main" id="{D076E3F8-9242-48D3-8E5D-0B11B5C4B90C}"/>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6381750" y="95250"/>
          <a:ext cx="1580249" cy="6165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333375</xdr:colOff>
      <xdr:row>0</xdr:row>
      <xdr:rowOff>114300</xdr:rowOff>
    </xdr:from>
    <xdr:to>
      <xdr:col>14</xdr:col>
      <xdr:colOff>438150</xdr:colOff>
      <xdr:row>2</xdr:row>
      <xdr:rowOff>97360</xdr:rowOff>
    </xdr:to>
    <xdr:pic>
      <xdr:nvPicPr>
        <xdr:cNvPr id="6" name="Picture 1">
          <a:extLst>
            <a:ext uri="{FF2B5EF4-FFF2-40B4-BE49-F238E27FC236}">
              <a16:creationId xmlns:a16="http://schemas.microsoft.com/office/drawing/2014/main" id="{A25C2362-B710-4662-8A21-725C29032E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92000" y="114300"/>
          <a:ext cx="1276350" cy="524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419100</xdr:colOff>
      <xdr:row>0</xdr:row>
      <xdr:rowOff>95250</xdr:rowOff>
    </xdr:from>
    <xdr:to>
      <xdr:col>12</xdr:col>
      <xdr:colOff>227699</xdr:colOff>
      <xdr:row>3</xdr:row>
      <xdr:rowOff>3156</xdr:rowOff>
    </xdr:to>
    <xdr:pic>
      <xdr:nvPicPr>
        <xdr:cNvPr id="7" name="Picture 2">
          <a:extLst>
            <a:ext uri="{FF2B5EF4-FFF2-40B4-BE49-F238E27FC236}">
              <a16:creationId xmlns:a16="http://schemas.microsoft.com/office/drawing/2014/main" id="{207E6576-209E-49B9-B6C7-14A9492E1AFD}"/>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0506075" y="95250"/>
          <a:ext cx="1580249" cy="6165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418071</xdr:colOff>
      <xdr:row>0</xdr:row>
      <xdr:rowOff>118630</xdr:rowOff>
    </xdr:from>
    <xdr:to>
      <xdr:col>18</xdr:col>
      <xdr:colOff>587616</xdr:colOff>
      <xdr:row>2</xdr:row>
      <xdr:rowOff>130553</xdr:rowOff>
    </xdr:to>
    <xdr:pic>
      <xdr:nvPicPr>
        <xdr:cNvPr id="6" name="Picture 1">
          <a:extLst>
            <a:ext uri="{FF2B5EF4-FFF2-40B4-BE49-F238E27FC236}">
              <a16:creationId xmlns:a16="http://schemas.microsoft.com/office/drawing/2014/main" id="{73527636-092A-4994-9D6B-72C5DDC154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91021" y="118630"/>
          <a:ext cx="1276350" cy="541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1211580</xdr:colOff>
      <xdr:row>0</xdr:row>
      <xdr:rowOff>40005</xdr:rowOff>
    </xdr:from>
    <xdr:to>
      <xdr:col>17</xdr:col>
      <xdr:colOff>402967</xdr:colOff>
      <xdr:row>3</xdr:row>
      <xdr:rowOff>75506</xdr:rowOff>
    </xdr:to>
    <xdr:pic>
      <xdr:nvPicPr>
        <xdr:cNvPr id="7" name="Picture 2">
          <a:extLst>
            <a:ext uri="{FF2B5EF4-FFF2-40B4-BE49-F238E27FC236}">
              <a16:creationId xmlns:a16="http://schemas.microsoft.com/office/drawing/2014/main" id="{1CCF45BA-F0A8-43E2-B0B2-8F035C3E7592}"/>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8423255" y="40005"/>
          <a:ext cx="1576447" cy="7403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342900</xdr:colOff>
      <xdr:row>0</xdr:row>
      <xdr:rowOff>95250</xdr:rowOff>
    </xdr:from>
    <xdr:to>
      <xdr:col>16</xdr:col>
      <xdr:colOff>693180</xdr:colOff>
      <xdr:row>2</xdr:row>
      <xdr:rowOff>114793</xdr:rowOff>
    </xdr:to>
    <xdr:pic>
      <xdr:nvPicPr>
        <xdr:cNvPr id="2" name="Picture 1">
          <a:extLst>
            <a:ext uri="{FF2B5EF4-FFF2-40B4-BE49-F238E27FC236}">
              <a16:creationId xmlns:a16="http://schemas.microsoft.com/office/drawing/2014/main" id="{47110B48-B2BF-48D0-AF3A-7852831D68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697450" y="91440"/>
          <a:ext cx="1306590" cy="552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418555</xdr:colOff>
      <xdr:row>0</xdr:row>
      <xdr:rowOff>51707</xdr:rowOff>
    </xdr:from>
    <xdr:to>
      <xdr:col>15</xdr:col>
      <xdr:colOff>76535</xdr:colOff>
      <xdr:row>3</xdr:row>
      <xdr:rowOff>83398</xdr:rowOff>
    </xdr:to>
    <xdr:pic>
      <xdr:nvPicPr>
        <xdr:cNvPr id="3" name="Picture 2">
          <a:extLst>
            <a:ext uri="{FF2B5EF4-FFF2-40B4-BE49-F238E27FC236}">
              <a16:creationId xmlns:a16="http://schemas.microsoft.com/office/drawing/2014/main" id="{D53E550D-13AA-4DE6-AEED-C64FB69631F4}"/>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5810955" y="55517"/>
          <a:ext cx="1559170" cy="742256"/>
        </a:xfrm>
        <a:prstGeom prst="rect">
          <a:avLst/>
        </a:prstGeom>
      </xdr:spPr>
    </xdr:pic>
    <xdr:clientData/>
  </xdr:twoCellAnchor>
  <xdr:twoCellAnchor>
    <xdr:from>
      <xdr:col>2</xdr:col>
      <xdr:colOff>0</xdr:colOff>
      <xdr:row>203</xdr:row>
      <xdr:rowOff>26837</xdr:rowOff>
    </xdr:from>
    <xdr:to>
      <xdr:col>11</xdr:col>
      <xdr:colOff>422013</xdr:colOff>
      <xdr:row>227</xdr:row>
      <xdr:rowOff>60735</xdr:rowOff>
    </xdr:to>
    <xdr:graphicFrame macro="">
      <xdr:nvGraphicFramePr>
        <xdr:cNvPr id="22" name="Grafiek 7">
          <a:extLst>
            <a:ext uri="{FF2B5EF4-FFF2-40B4-BE49-F238E27FC236}">
              <a16:creationId xmlns:a16="http://schemas.microsoft.com/office/drawing/2014/main" id="{C8F72DCB-C6C6-44A7-87A6-96BE04517C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342900</xdr:colOff>
      <xdr:row>0</xdr:row>
      <xdr:rowOff>95250</xdr:rowOff>
    </xdr:from>
    <xdr:to>
      <xdr:col>16</xdr:col>
      <xdr:colOff>664605</xdr:colOff>
      <xdr:row>2</xdr:row>
      <xdr:rowOff>110983</xdr:rowOff>
    </xdr:to>
    <xdr:pic>
      <xdr:nvPicPr>
        <xdr:cNvPr id="2" name="Picture 1">
          <a:extLst>
            <a:ext uri="{FF2B5EF4-FFF2-40B4-BE49-F238E27FC236}">
              <a16:creationId xmlns:a16="http://schemas.microsoft.com/office/drawing/2014/main" id="{2AB92E58-AE61-4790-91E0-9DAF87F30F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697450" y="91440"/>
          <a:ext cx="1302780" cy="552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418555</xdr:colOff>
      <xdr:row>0</xdr:row>
      <xdr:rowOff>51707</xdr:rowOff>
    </xdr:from>
    <xdr:to>
      <xdr:col>15</xdr:col>
      <xdr:colOff>19385</xdr:colOff>
      <xdr:row>3</xdr:row>
      <xdr:rowOff>96733</xdr:rowOff>
    </xdr:to>
    <xdr:pic>
      <xdr:nvPicPr>
        <xdr:cNvPr id="3" name="Picture 2">
          <a:extLst>
            <a:ext uri="{FF2B5EF4-FFF2-40B4-BE49-F238E27FC236}">
              <a16:creationId xmlns:a16="http://schemas.microsoft.com/office/drawing/2014/main" id="{8CD49EF3-AAD4-4237-BE6E-124B78954FA9}"/>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5810955" y="55517"/>
          <a:ext cx="1562980" cy="746066"/>
        </a:xfrm>
        <a:prstGeom prst="rect">
          <a:avLst/>
        </a:prstGeom>
      </xdr:spPr>
    </xdr:pic>
    <xdr:clientData/>
  </xdr:twoCellAnchor>
  <xdr:twoCellAnchor>
    <xdr:from>
      <xdr:col>2</xdr:col>
      <xdr:colOff>0</xdr:colOff>
      <xdr:row>203</xdr:row>
      <xdr:rowOff>26837</xdr:rowOff>
    </xdr:from>
    <xdr:to>
      <xdr:col>11</xdr:col>
      <xdr:colOff>422013</xdr:colOff>
      <xdr:row>227</xdr:row>
      <xdr:rowOff>60735</xdr:rowOff>
    </xdr:to>
    <xdr:graphicFrame macro="">
      <xdr:nvGraphicFramePr>
        <xdr:cNvPr id="4" name="Grafiek 7">
          <a:extLst>
            <a:ext uri="{FF2B5EF4-FFF2-40B4-BE49-F238E27FC236}">
              <a16:creationId xmlns:a16="http://schemas.microsoft.com/office/drawing/2014/main" id="{04A0F1A8-7022-4DDF-ABBA-10B108DDC6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342900</xdr:colOff>
      <xdr:row>0</xdr:row>
      <xdr:rowOff>95250</xdr:rowOff>
    </xdr:from>
    <xdr:to>
      <xdr:col>16</xdr:col>
      <xdr:colOff>693180</xdr:colOff>
      <xdr:row>2</xdr:row>
      <xdr:rowOff>114793</xdr:rowOff>
    </xdr:to>
    <xdr:pic>
      <xdr:nvPicPr>
        <xdr:cNvPr id="2" name="Picture 1">
          <a:extLst>
            <a:ext uri="{FF2B5EF4-FFF2-40B4-BE49-F238E27FC236}">
              <a16:creationId xmlns:a16="http://schemas.microsoft.com/office/drawing/2014/main" id="{44BC5D9E-C288-4A04-B847-B7EA22FC3F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697450" y="91440"/>
          <a:ext cx="1306590" cy="552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418555</xdr:colOff>
      <xdr:row>0</xdr:row>
      <xdr:rowOff>51707</xdr:rowOff>
    </xdr:from>
    <xdr:to>
      <xdr:col>15</xdr:col>
      <xdr:colOff>76535</xdr:colOff>
      <xdr:row>3</xdr:row>
      <xdr:rowOff>83398</xdr:rowOff>
    </xdr:to>
    <xdr:pic>
      <xdr:nvPicPr>
        <xdr:cNvPr id="3" name="Picture 2">
          <a:extLst>
            <a:ext uri="{FF2B5EF4-FFF2-40B4-BE49-F238E27FC236}">
              <a16:creationId xmlns:a16="http://schemas.microsoft.com/office/drawing/2014/main" id="{26C4E82C-411B-4988-ADC4-835D1931C25F}"/>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5810955" y="55517"/>
          <a:ext cx="1559170" cy="742256"/>
        </a:xfrm>
        <a:prstGeom prst="rect">
          <a:avLst/>
        </a:prstGeom>
      </xdr:spPr>
    </xdr:pic>
    <xdr:clientData/>
  </xdr:twoCellAnchor>
  <xdr:twoCellAnchor>
    <xdr:from>
      <xdr:col>2</xdr:col>
      <xdr:colOff>0</xdr:colOff>
      <xdr:row>203</xdr:row>
      <xdr:rowOff>26837</xdr:rowOff>
    </xdr:from>
    <xdr:to>
      <xdr:col>11</xdr:col>
      <xdr:colOff>422013</xdr:colOff>
      <xdr:row>227</xdr:row>
      <xdr:rowOff>60735</xdr:rowOff>
    </xdr:to>
    <xdr:graphicFrame macro="">
      <xdr:nvGraphicFramePr>
        <xdr:cNvPr id="22" name="Grafiek 7">
          <a:extLst>
            <a:ext uri="{FF2B5EF4-FFF2-40B4-BE49-F238E27FC236}">
              <a16:creationId xmlns:a16="http://schemas.microsoft.com/office/drawing/2014/main" id="{AB6A5742-A250-470D-A08F-78CACEAF7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93ABA4-4DD6-425F-84B4-65841912C518}" name="tech_param" displayName="tech_param" ref="A6:S15" totalsRowShown="0" headerRowDxfId="79" dataDxfId="78">
  <tableColumns count="19">
    <tableColumn id="1" xr3:uid="{284252E0-7C90-4C9F-A4AD-64590FABAB57}" name="Technologie" dataDxfId="77"/>
    <tableColumn id="3" xr3:uid="{7A4EC47E-0910-475D-B481-525D0A85DD0B}" name="ID" dataDxfId="76"/>
    <tableColumn id="5" xr3:uid="{001AA24B-2276-418D-84B4-E1C3E3726EF7}" name="Correctiefactor netkost" dataDxfId="75"/>
    <tableColumn id="6" xr3:uid="{692C5CB1-6826-46D7-8146-A80A7CC371D0}" name="Maximum aantal vollasturen" dataDxfId="74"/>
    <tableColumn id="8" xr3:uid="{50E17082-A8E0-44BE-B396-7B461182F976}" name="Economische levensduur" dataDxfId="73"/>
    <tableColumn id="18" xr3:uid="{A6951D7B-3BAF-4453-8D77-FBA5C0A10BBD}" name="Referentiebedrag" dataDxfId="72"/>
    <tableColumn id="7" xr3:uid="{ECB1C9AB-456C-4984-A129-4FDFDBABD600}" name="Bodembedrag ETS1" dataDxfId="71">
      <calculatedColumnFormula>#REF!</calculatedColumnFormula>
    </tableColumn>
    <tableColumn id="2" xr3:uid="{D8846044-F816-420B-B9A3-B85DE82DA090}" name="Bodembedrag ETS2" dataDxfId="70"/>
    <tableColumn id="15" xr3:uid="{35EEEC8D-AC75-4469-944B-31A594E4EE89}" name="Bodembedrag ETS2 nog niet in voege" dataDxfId="69"/>
    <tableColumn id="14" xr3:uid="{003A20CD-737E-4237-BA00-8837E77512B6}" name="Bodembedrag ETS1_x000a_(per ton CO2)" dataDxfId="68"/>
    <tableColumn id="16" xr3:uid="{88B9683D-D520-42F8-93CA-17703F636E6A}" name="Bodembedrag ETS2_x000a_(per ton CO2)" dataDxfId="67"/>
    <tableColumn id="17" xr3:uid="{66B69889-B6E6-42F9-9782-6415193C1FF1}" name="Bodembedrag ETS2 nog niet in voege _x000a_(per ton CO2)" dataDxfId="66"/>
    <tableColumn id="4" xr3:uid="{5F2E00E4-B01F-4586-AA07-2E7221853341}" name="Emissiefactor elektriciteit" dataDxfId="65"/>
    <tableColumn id="19" xr3:uid="{A454736F-3ACB-466F-A5C9-2D1CC2C25352}" name="Vermogen gerelateerde netkosten" dataDxfId="64"/>
    <tableColumn id="9" xr3:uid="{BC6B6821-126C-419F-9570-89D831B08BF0}" name="LT Marktprijs elektriciteit" dataDxfId="63"/>
    <tableColumn id="12" xr3:uid="{6AB217AA-BECB-4421-9A07-D3981F81C427}" name="Netkosten op verbruik en heffingen elektriciteit" dataDxfId="62"/>
    <tableColumn id="10" xr3:uid="{242EBEEF-DA5E-4CCC-AF79-55A887E03D3A}" name="Maximum thermisch rendement " dataDxfId="61"/>
    <tableColumn id="11" xr3:uid="{285A6083-1E6D-4C82-AD8B-5CC701D2EE0C}" name="Minimum COP" dataDxfId="60">
      <calculatedColumnFormula>"/"</calculatedColumnFormula>
    </tableColumn>
    <tableColumn id="13" xr3:uid="{08865A5F-F6E2-4434-95E7-34D997C87C59}" name="Maximum COP" dataDxfId="59">
      <calculatedColumnFormula>"/"</calculatedColumnFormula>
    </tableColumn>
  </tableColumns>
  <tableStyleInfo name="Tabelstijl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624ED40-BC18-41FD-AC72-CBB5EEB0AE03}" name="prefill" displayName="prefill" ref="A25:L36" totalsRowShown="0" headerRowDxfId="58" dataDxfId="57">
  <tableColumns count="12">
    <tableColumn id="1" xr3:uid="{78EE8153-F2D1-42ED-9EC6-2BBB4F20B898}" name="Kostenpost" dataDxfId="56"/>
    <tableColumn id="2" xr3:uid="{D180A1D3-A7AB-4FCA-A0D1-D6E359FDA5DF}" name="Eenheid" dataDxfId="55"/>
    <tableColumn id="3" xr3:uid="{0E9BAC19-EAD7-46F9-9401-9ABC552FFB2F}" name="1" dataDxfId="54"/>
    <tableColumn id="4" xr3:uid="{080DA9B2-F4C1-4950-921E-FD74DF24CC47}" name="2" dataDxfId="53">
      <calculatedColumnFormula>C26*(1+'Algemene parameters'!$B$26)</calculatedColumnFormula>
    </tableColumn>
    <tableColumn id="5" xr3:uid="{A2B49E5B-3F36-4198-B398-C4DA71C67DD0}" name="3" dataDxfId="52">
      <calculatedColumnFormula>D26*(1+'Algemene parameters'!$B$26)</calculatedColumnFormula>
    </tableColumn>
    <tableColumn id="6" xr3:uid="{1D89AB0F-33FE-4E3E-B481-9997BAA6DA1F}" name="4" dataDxfId="51">
      <calculatedColumnFormula>E26*(1+'Algemene parameters'!$B$26)</calculatedColumnFormula>
    </tableColumn>
    <tableColumn id="7" xr3:uid="{AA85404E-0724-4131-9015-4BBD400C3AB6}" name="5" dataDxfId="50">
      <calculatedColumnFormula>F26*(1+'Algemene parameters'!$B$26)</calculatedColumnFormula>
    </tableColumn>
    <tableColumn id="8" xr3:uid="{863CA526-3E6D-4057-9150-BDFC07EDAD07}" name="6" dataDxfId="49">
      <calculatedColumnFormula>G26*(1+'Algemene parameters'!$B$26)</calculatedColumnFormula>
    </tableColumn>
    <tableColumn id="9" xr3:uid="{FC572291-9D59-4702-A4F3-0AE14AFE7564}" name="7" dataDxfId="48">
      <calculatedColumnFormula>H26*(1+'Algemene parameters'!$B$26)</calculatedColumnFormula>
    </tableColumn>
    <tableColumn id="10" xr3:uid="{288F86AE-14E6-4345-969C-727B44215BC9}" name="8" dataDxfId="47">
      <calculatedColumnFormula>I26*(1+'Algemene parameters'!$B$26)</calculatedColumnFormula>
    </tableColumn>
    <tableColumn id="11" xr3:uid="{04B8EABE-CEBD-4CCC-B67F-ABE1134BF9F2}" name="9" dataDxfId="46">
      <calculatedColumnFormula>J26*(1+'Algemene parameters'!$B$26)</calculatedColumnFormula>
    </tableColumn>
    <tableColumn id="12" xr3:uid="{43758EDD-5493-4C32-9541-551CAE989A8A}" name="10" dataDxfId="45">
      <calculatedColumnFormula>K26*(1+'Algemene parameters'!$B$26)</calculatedColumnFormula>
    </tableColumn>
  </tableColumns>
  <tableStyleInfo name="Tabelstijl 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limaatsprong@vlaio.b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FB8AF-BF10-48B3-93C9-C1E2D76130BD}">
  <sheetPr>
    <tabColor rgb="FF009B48"/>
  </sheetPr>
  <dimension ref="A1:O29"/>
  <sheetViews>
    <sheetView showGridLines="0" tabSelected="1" workbookViewId="0">
      <selection activeCell="N21" sqref="N21"/>
    </sheetView>
  </sheetViews>
  <sheetFormatPr defaultColWidth="8.85546875" defaultRowHeight="11.25" x14ac:dyDescent="0.15"/>
  <cols>
    <col min="1" max="1" width="11.42578125" style="1" customWidth="1"/>
    <col min="2" max="15" width="8.85546875" style="1"/>
    <col min="16" max="16384" width="8.85546875" style="87"/>
  </cols>
  <sheetData>
    <row r="1" spans="1:15" s="7" customFormat="1" ht="14.25" customHeight="1" x14ac:dyDescent="0.15">
      <c r="A1" s="9"/>
      <c r="B1" s="10"/>
      <c r="C1" s="10"/>
      <c r="D1" s="10"/>
      <c r="E1" s="10"/>
      <c r="F1" s="10"/>
      <c r="G1" s="10"/>
      <c r="H1" s="10"/>
      <c r="I1" s="10"/>
      <c r="J1" s="10"/>
      <c r="K1" s="10"/>
      <c r="L1" s="10"/>
      <c r="M1" s="10"/>
      <c r="N1" s="10"/>
      <c r="O1" s="10"/>
    </row>
    <row r="2" spans="1:15" s="6" customFormat="1" ht="28.15" customHeight="1" x14ac:dyDescent="0.25">
      <c r="A2" s="11" t="s">
        <v>0</v>
      </c>
      <c r="B2" s="10"/>
      <c r="C2" s="10"/>
      <c r="D2" s="10"/>
      <c r="E2" s="10"/>
      <c r="F2" s="10"/>
      <c r="G2" s="10"/>
      <c r="H2" s="10"/>
      <c r="I2" s="10"/>
      <c r="J2" s="10"/>
      <c r="K2" s="10"/>
      <c r="L2" s="10"/>
      <c r="M2" s="10"/>
      <c r="N2" s="10"/>
      <c r="O2" s="10"/>
    </row>
    <row r="3" spans="1:15" s="7" customFormat="1" ht="14.25" customHeight="1" x14ac:dyDescent="0.15">
      <c r="A3" s="9"/>
      <c r="B3" s="10"/>
      <c r="C3" s="10"/>
      <c r="D3" s="10"/>
      <c r="E3" s="10"/>
      <c r="F3" s="10"/>
      <c r="G3" s="10"/>
      <c r="H3" s="10"/>
      <c r="I3" s="10"/>
      <c r="J3" s="10"/>
      <c r="K3" s="10"/>
      <c r="L3" s="10"/>
      <c r="M3" s="10"/>
      <c r="N3" s="10"/>
      <c r="O3" s="10"/>
    </row>
    <row r="4" spans="1:15" s="12" customFormat="1" ht="14.25" customHeight="1" x14ac:dyDescent="0.25"/>
    <row r="5" spans="1:15" s="12" customFormat="1" ht="14.25" customHeight="1" x14ac:dyDescent="0.25"/>
    <row r="6" spans="1:15" ht="14.25" customHeight="1" x14ac:dyDescent="0.15">
      <c r="A6" s="13" t="s">
        <v>1</v>
      </c>
      <c r="B6" s="14"/>
      <c r="C6" s="13"/>
      <c r="D6" s="13"/>
      <c r="E6" s="13"/>
      <c r="F6" s="13"/>
      <c r="G6" s="13"/>
      <c r="H6" s="13"/>
      <c r="I6" s="13"/>
      <c r="J6" s="13"/>
      <c r="K6" s="13"/>
      <c r="L6" s="15"/>
      <c r="M6" s="15"/>
      <c r="N6" s="15"/>
      <c r="O6" s="15"/>
    </row>
    <row r="7" spans="1:15" s="1" customFormat="1" ht="14.25" customHeight="1" x14ac:dyDescent="0.15">
      <c r="A7" s="287" t="s">
        <v>2</v>
      </c>
      <c r="B7" s="287"/>
      <c r="C7" s="287"/>
      <c r="D7" s="287"/>
      <c r="E7" s="287"/>
      <c r="F7" s="287"/>
      <c r="G7" s="287"/>
      <c r="H7" s="287"/>
      <c r="I7" s="287"/>
      <c r="J7" s="287"/>
      <c r="K7" s="287"/>
      <c r="L7" s="287"/>
      <c r="M7" s="287"/>
      <c r="N7" s="287"/>
      <c r="O7" s="287"/>
    </row>
    <row r="8" spans="1:15" s="1" customFormat="1" ht="14.25" customHeight="1" x14ac:dyDescent="0.25">
      <c r="A8" s="88"/>
      <c r="B8" s="89"/>
      <c r="C8" s="89"/>
      <c r="D8" s="89"/>
      <c r="E8" s="89"/>
      <c r="F8" s="89"/>
      <c r="G8" s="89"/>
      <c r="H8" s="89"/>
      <c r="I8" s="89"/>
      <c r="J8" s="89"/>
      <c r="K8" s="89"/>
      <c r="L8" s="89"/>
      <c r="M8" s="89"/>
      <c r="N8" s="89"/>
      <c r="O8" s="89"/>
    </row>
    <row r="9" spans="1:15" s="12" customFormat="1" ht="69" customHeight="1" x14ac:dyDescent="0.25">
      <c r="A9" s="285" t="s">
        <v>3</v>
      </c>
      <c r="B9" s="286"/>
      <c r="C9" s="286"/>
      <c r="D9" s="286"/>
      <c r="E9" s="286"/>
      <c r="F9" s="286"/>
      <c r="G9" s="286"/>
      <c r="H9" s="286"/>
      <c r="I9" s="286"/>
      <c r="J9" s="286"/>
      <c r="K9" s="286"/>
      <c r="L9" s="286"/>
      <c r="M9" s="286"/>
      <c r="N9" s="286"/>
      <c r="O9" s="286"/>
    </row>
    <row r="10" spans="1:15" s="12" customFormat="1" ht="36.75" customHeight="1" x14ac:dyDescent="0.25">
      <c r="A10" s="285" t="s">
        <v>4</v>
      </c>
      <c r="B10" s="286"/>
      <c r="C10" s="286"/>
      <c r="D10" s="286"/>
      <c r="E10" s="286"/>
      <c r="F10" s="286"/>
      <c r="G10" s="286"/>
      <c r="H10" s="286"/>
      <c r="I10" s="286"/>
      <c r="J10" s="286"/>
      <c r="K10" s="286"/>
      <c r="L10" s="286"/>
      <c r="M10" s="286"/>
      <c r="N10" s="286"/>
      <c r="O10" s="286"/>
    </row>
    <row r="11" spans="1:15" ht="14.25" customHeight="1" x14ac:dyDescent="0.25">
      <c r="A11" s="12"/>
      <c r="B11" s="12"/>
      <c r="C11" s="12"/>
      <c r="D11" s="12"/>
      <c r="E11" s="12"/>
      <c r="F11" s="12"/>
      <c r="G11" s="12"/>
      <c r="H11" s="12"/>
      <c r="I11" s="12"/>
      <c r="J11" s="12"/>
      <c r="K11" s="12"/>
      <c r="L11" s="12"/>
      <c r="M11" s="12"/>
      <c r="N11" s="12"/>
      <c r="O11" s="12"/>
    </row>
    <row r="12" spans="1:15" ht="14.25" customHeight="1" x14ac:dyDescent="0.25">
      <c r="A12" s="90" t="s">
        <v>5</v>
      </c>
      <c r="B12" s="12"/>
      <c r="C12" s="12"/>
      <c r="D12" s="12"/>
      <c r="E12" s="12"/>
      <c r="F12" s="12"/>
      <c r="G12" s="12"/>
      <c r="H12" s="12"/>
      <c r="I12" s="12"/>
      <c r="J12" s="12"/>
      <c r="K12" s="12"/>
      <c r="L12" s="12"/>
      <c r="M12" s="12"/>
      <c r="N12" s="12"/>
      <c r="O12" s="12"/>
    </row>
    <row r="13" spans="1:15" s="12" customFormat="1" ht="50.25" customHeight="1" x14ac:dyDescent="0.25">
      <c r="A13" s="285" t="s">
        <v>6</v>
      </c>
      <c r="B13" s="286"/>
      <c r="C13" s="286"/>
      <c r="D13" s="286"/>
      <c r="E13" s="286"/>
      <c r="F13" s="286"/>
      <c r="G13" s="286"/>
      <c r="H13" s="286"/>
      <c r="I13" s="286"/>
      <c r="J13" s="286"/>
      <c r="K13" s="286"/>
      <c r="L13" s="286"/>
      <c r="M13" s="286"/>
      <c r="N13" s="286"/>
      <c r="O13" s="286"/>
    </row>
    <row r="14" spans="1:15" ht="14.25" customHeight="1" x14ac:dyDescent="0.25">
      <c r="A14" s="12" t="s">
        <v>7</v>
      </c>
      <c r="B14" s="12"/>
      <c r="C14" s="12"/>
      <c r="D14" s="12"/>
      <c r="E14" s="12"/>
      <c r="F14" s="12"/>
      <c r="G14" s="12"/>
      <c r="H14" s="12"/>
      <c r="I14" s="12"/>
      <c r="J14" s="12"/>
      <c r="K14" s="12"/>
      <c r="L14" s="12"/>
      <c r="M14" s="12"/>
      <c r="N14" s="12"/>
      <c r="O14" s="12"/>
    </row>
    <row r="15" spans="1:15" ht="14.25" customHeight="1" x14ac:dyDescent="0.25">
      <c r="A15" s="12" t="s">
        <v>8</v>
      </c>
      <c r="B15" s="12"/>
      <c r="C15" s="12"/>
      <c r="D15" s="12"/>
      <c r="E15" s="12"/>
      <c r="F15" s="12"/>
      <c r="G15" s="12"/>
      <c r="H15" s="12"/>
      <c r="I15" s="12"/>
      <c r="J15" s="12"/>
      <c r="K15" s="12"/>
      <c r="L15" s="12"/>
      <c r="M15" s="12"/>
      <c r="N15" s="12"/>
      <c r="O15" s="12"/>
    </row>
    <row r="16" spans="1:15" ht="14.25" customHeight="1" x14ac:dyDescent="0.25">
      <c r="A16" s="12"/>
      <c r="B16" s="12"/>
      <c r="C16" s="12"/>
      <c r="D16" s="12"/>
      <c r="E16" s="12"/>
      <c r="F16" s="12"/>
      <c r="G16" s="12"/>
      <c r="H16" s="12"/>
      <c r="I16" s="12"/>
      <c r="J16" s="12"/>
      <c r="K16" s="12"/>
      <c r="L16" s="12"/>
      <c r="M16" s="12"/>
      <c r="N16" s="12"/>
      <c r="O16" s="12"/>
    </row>
    <row r="17" spans="1:15" ht="14.25" customHeight="1" x14ac:dyDescent="0.25">
      <c r="A17" s="90" t="s">
        <v>9</v>
      </c>
      <c r="B17" s="12"/>
      <c r="C17" s="12"/>
      <c r="D17" s="12"/>
      <c r="E17" s="12"/>
      <c r="F17" s="12"/>
      <c r="G17" s="12"/>
      <c r="H17" s="12"/>
      <c r="I17" s="12"/>
      <c r="J17" s="12"/>
      <c r="K17" s="12"/>
      <c r="L17" s="12"/>
      <c r="M17" s="12"/>
      <c r="N17" s="12"/>
      <c r="O17" s="12"/>
    </row>
    <row r="18" spans="1:15" ht="14.25" customHeight="1" x14ac:dyDescent="0.25">
      <c r="A18" s="12" t="s">
        <v>10</v>
      </c>
      <c r="B18" s="12"/>
      <c r="C18" s="12"/>
      <c r="D18" s="12"/>
      <c r="E18" s="12"/>
      <c r="F18" s="12"/>
      <c r="G18" s="12"/>
      <c r="H18" s="12"/>
      <c r="I18" s="12"/>
      <c r="J18" s="12"/>
      <c r="K18" s="12"/>
      <c r="L18" s="12"/>
      <c r="M18" s="12"/>
      <c r="N18" s="12"/>
      <c r="O18" s="12"/>
    </row>
    <row r="19" spans="1:15" ht="14.25" customHeight="1" x14ac:dyDescent="0.25">
      <c r="A19" s="12"/>
      <c r="B19" s="12"/>
      <c r="C19" s="12"/>
      <c r="D19" s="12"/>
      <c r="E19" s="12"/>
      <c r="F19" s="12"/>
      <c r="G19" s="12"/>
      <c r="H19" s="12"/>
      <c r="I19" s="12"/>
      <c r="J19" s="12"/>
      <c r="K19" s="12"/>
      <c r="L19" s="12"/>
      <c r="N19" s="12"/>
      <c r="O19" s="12"/>
    </row>
    <row r="20" spans="1:15" ht="14.25" customHeight="1" x14ac:dyDescent="0.25">
      <c r="A20" s="90" t="s">
        <v>11</v>
      </c>
      <c r="B20" s="12"/>
      <c r="C20" s="12"/>
      <c r="D20" s="12"/>
      <c r="E20" s="12"/>
      <c r="F20" s="12"/>
      <c r="G20" s="12"/>
      <c r="H20" s="12"/>
      <c r="I20" s="12"/>
      <c r="J20" s="12"/>
      <c r="K20" s="12"/>
      <c r="L20" s="12"/>
      <c r="M20" s="12"/>
      <c r="N20" s="12"/>
      <c r="O20" s="12"/>
    </row>
    <row r="21" spans="1:15" ht="14.25" customHeight="1" x14ac:dyDescent="0.25">
      <c r="A21" s="12" t="s">
        <v>12</v>
      </c>
      <c r="B21" s="12"/>
      <c r="C21" s="12"/>
      <c r="D21" s="12"/>
      <c r="E21" s="12"/>
      <c r="F21" s="12"/>
      <c r="G21" s="12"/>
      <c r="H21" s="12"/>
      <c r="I21" s="12"/>
      <c r="J21" s="12"/>
      <c r="K21" s="12"/>
      <c r="L21" s="12"/>
      <c r="M21" s="12"/>
      <c r="N21" s="12"/>
      <c r="O21" s="12"/>
    </row>
    <row r="22" spans="1:15" ht="14.25" customHeight="1" x14ac:dyDescent="0.25">
      <c r="A22" s="91" t="s">
        <v>13</v>
      </c>
      <c r="B22" s="92"/>
      <c r="C22" s="93"/>
      <c r="D22" s="93"/>
      <c r="E22" s="12"/>
      <c r="F22" s="12"/>
      <c r="G22" s="12"/>
      <c r="H22" s="12"/>
      <c r="I22" s="12"/>
      <c r="J22" s="12"/>
      <c r="K22" s="12"/>
      <c r="L22" s="12"/>
      <c r="M22" s="12"/>
      <c r="N22" s="12"/>
      <c r="O22" s="12"/>
    </row>
    <row r="23" spans="1:15" ht="14.25" customHeight="1" x14ac:dyDescent="0.25">
      <c r="A23" s="12"/>
      <c r="B23" s="12"/>
      <c r="C23" s="12"/>
      <c r="D23" s="12"/>
      <c r="E23" s="12"/>
      <c r="F23" s="12"/>
      <c r="G23" s="12"/>
      <c r="H23" s="12"/>
      <c r="I23" s="12"/>
      <c r="J23" s="12"/>
      <c r="K23" s="12"/>
      <c r="L23" s="12"/>
      <c r="M23" s="12"/>
      <c r="N23" s="12"/>
      <c r="O23" s="12"/>
    </row>
    <row r="24" spans="1:15" s="12" customFormat="1" ht="14.25" customHeight="1" x14ac:dyDescent="0.25">
      <c r="A24" s="90" t="s">
        <v>14</v>
      </c>
      <c r="B24" s="16"/>
    </row>
    <row r="25" spans="1:15" s="96" customFormat="1" ht="14.25" customHeight="1" x14ac:dyDescent="0.15">
      <c r="A25" s="94">
        <v>45688</v>
      </c>
      <c r="B25" s="95"/>
      <c r="C25" s="95"/>
      <c r="D25" s="95"/>
      <c r="E25" s="95"/>
      <c r="F25" s="95"/>
      <c r="G25" s="95"/>
      <c r="H25" s="95"/>
      <c r="I25" s="95"/>
      <c r="J25" s="95"/>
      <c r="K25" s="95"/>
      <c r="L25" s="95"/>
      <c r="M25" s="95"/>
      <c r="N25" s="95"/>
      <c r="O25" s="95"/>
    </row>
    <row r="26" spans="1:15" ht="14.25" customHeight="1" x14ac:dyDescent="0.15"/>
    <row r="27" spans="1:15" ht="14.25" customHeight="1" x14ac:dyDescent="0.15">
      <c r="A27" s="97"/>
    </row>
    <row r="28" spans="1:15" ht="14.25" customHeight="1" x14ac:dyDescent="0.15"/>
    <row r="29" spans="1:15" ht="14.25" customHeight="1" x14ac:dyDescent="0.15"/>
  </sheetData>
  <sheetProtection algorithmName="SHA-512" hashValue="gyf9q0DavE7Xc4urAQ9uIf7IB2uEuG5cHjE2rqLE5qr6bM9dbibO+n06qGrKeSAATCUBj3hFAd28guyxh6Z4+Q==" saltValue="Dz+M9dzi4U3nGVz7Pmk9aA==" spinCount="100000" sheet="1" objects="1" scenarios="1"/>
  <mergeCells count="4">
    <mergeCell ref="A9:O9"/>
    <mergeCell ref="A7:O7"/>
    <mergeCell ref="A10:O10"/>
    <mergeCell ref="A13:O13"/>
  </mergeCells>
  <hyperlinks>
    <hyperlink ref="A22" r:id="rId1" xr:uid="{14D9E187-B226-4A21-A3C2-34EDBCF502FD}"/>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16792-BAD6-43B5-9D9C-050127FE3788}">
  <sheetPr>
    <tabColor rgb="FF009B48"/>
  </sheetPr>
  <dimension ref="A1:Q63"/>
  <sheetViews>
    <sheetView showGridLines="0" zoomScaleNormal="100" workbookViewId="0">
      <selection activeCell="I35" sqref="I35"/>
    </sheetView>
  </sheetViews>
  <sheetFormatPr defaultColWidth="8.85546875" defaultRowHeight="14.25" customHeight="1" x14ac:dyDescent="0.15"/>
  <cols>
    <col min="1" max="1" width="57.42578125" style="1" customWidth="1"/>
    <col min="2" max="2" width="17.5703125" style="1" bestFit="1" customWidth="1"/>
    <col min="3" max="3" width="16.28515625" style="1" customWidth="1"/>
    <col min="4" max="4" width="17" style="1" customWidth="1"/>
    <col min="5" max="16384" width="8.85546875" style="1"/>
  </cols>
  <sheetData>
    <row r="1" spans="1:15" s="7" customFormat="1" ht="14.25" customHeight="1" x14ac:dyDescent="0.15">
      <c r="A1" s="9"/>
      <c r="B1" s="10"/>
      <c r="C1" s="10"/>
      <c r="D1" s="10"/>
      <c r="E1" s="10"/>
      <c r="F1" s="10"/>
      <c r="G1" s="10"/>
      <c r="H1" s="10"/>
      <c r="I1" s="10"/>
      <c r="J1" s="10"/>
      <c r="K1" s="10"/>
      <c r="L1" s="10"/>
      <c r="M1" s="10"/>
      <c r="N1" s="10"/>
      <c r="O1" s="10"/>
    </row>
    <row r="2" spans="1:15" s="6" customFormat="1" ht="28.15" customHeight="1" x14ac:dyDescent="0.25">
      <c r="A2" s="11" t="s">
        <v>15</v>
      </c>
      <c r="B2" s="10"/>
      <c r="C2" s="10"/>
      <c r="D2" s="10"/>
      <c r="E2" s="10"/>
      <c r="F2" s="10"/>
      <c r="G2" s="10"/>
      <c r="H2" s="10"/>
      <c r="I2" s="10"/>
      <c r="J2" s="10"/>
      <c r="K2" s="10"/>
      <c r="L2" s="10"/>
      <c r="M2" s="10"/>
      <c r="N2" s="10"/>
      <c r="O2" s="10"/>
    </row>
    <row r="3" spans="1:15" s="7" customFormat="1" ht="14.25" customHeight="1" x14ac:dyDescent="0.15">
      <c r="A3" s="9"/>
      <c r="B3" s="10"/>
      <c r="C3" s="10"/>
      <c r="D3" s="10"/>
      <c r="E3" s="10"/>
      <c r="F3" s="10"/>
      <c r="G3" s="10"/>
      <c r="H3" s="10"/>
      <c r="I3" s="10"/>
      <c r="J3" s="10"/>
      <c r="K3" s="10"/>
      <c r="L3" s="10"/>
      <c r="M3" s="10"/>
      <c r="N3" s="10"/>
      <c r="O3" s="10"/>
    </row>
    <row r="4" spans="1:15" s="5" customFormat="1" ht="14.25" customHeight="1" x14ac:dyDescent="0.25">
      <c r="A4" s="2"/>
      <c r="B4" s="3"/>
      <c r="C4" s="2"/>
      <c r="D4" s="2"/>
      <c r="E4" s="2"/>
      <c r="F4" s="2"/>
      <c r="G4" s="2"/>
      <c r="H4" s="2"/>
      <c r="I4" s="2"/>
      <c r="J4" s="2"/>
      <c r="K4" s="2"/>
    </row>
    <row r="5" spans="1:15" s="5" customFormat="1" ht="14.25" customHeight="1" x14ac:dyDescent="0.25">
      <c r="A5" s="2"/>
      <c r="B5" s="3"/>
      <c r="C5" s="2"/>
      <c r="D5" s="2"/>
      <c r="E5" s="2"/>
      <c r="F5" s="2"/>
      <c r="G5" s="2"/>
      <c r="H5" s="2"/>
      <c r="I5" s="2"/>
      <c r="J5" s="2"/>
      <c r="K5" s="2"/>
    </row>
    <row r="6" spans="1:15" s="15" customFormat="1" ht="14.25" customHeight="1" x14ac:dyDescent="0.25">
      <c r="A6" s="13" t="s">
        <v>16</v>
      </c>
      <c r="B6" s="14"/>
      <c r="C6" s="13"/>
      <c r="D6" s="13"/>
      <c r="E6" s="13"/>
      <c r="F6" s="13"/>
      <c r="G6" s="13"/>
      <c r="H6" s="13"/>
      <c r="I6" s="13"/>
      <c r="J6" s="13"/>
      <c r="K6" s="13"/>
    </row>
    <row r="7" spans="1:15" s="5" customFormat="1" ht="14.25" customHeight="1" x14ac:dyDescent="0.25">
      <c r="A7" s="288" t="s">
        <v>2</v>
      </c>
      <c r="B7" s="289"/>
      <c r="C7" s="289"/>
      <c r="D7" s="289"/>
      <c r="E7" s="289"/>
      <c r="F7" s="289"/>
      <c r="G7" s="289"/>
      <c r="H7" s="289"/>
      <c r="I7" s="289"/>
      <c r="J7" s="289"/>
      <c r="K7" s="289"/>
      <c r="L7" s="289"/>
      <c r="M7" s="289"/>
      <c r="N7" s="289"/>
      <c r="O7" s="289"/>
    </row>
    <row r="8" spans="1:15" s="22" customFormat="1" ht="14.25" customHeight="1" x14ac:dyDescent="0.25">
      <c r="A8" s="17"/>
      <c r="B8" s="18"/>
      <c r="C8" s="19"/>
      <c r="D8" s="20"/>
      <c r="E8" s="19"/>
      <c r="F8" s="19"/>
      <c r="G8" s="19"/>
      <c r="H8" s="19"/>
      <c r="I8" s="19"/>
      <c r="J8" s="19"/>
      <c r="K8" s="19"/>
      <c r="L8" s="21"/>
      <c r="M8" s="21"/>
      <c r="N8" s="21"/>
      <c r="O8" s="21"/>
    </row>
    <row r="9" spans="1:15" s="28" customFormat="1" ht="14.25" customHeight="1" x14ac:dyDescent="0.25">
      <c r="A9" s="23" t="s">
        <v>17</v>
      </c>
      <c r="B9" s="24" t="s">
        <v>18</v>
      </c>
      <c r="C9" s="23" t="s">
        <v>19</v>
      </c>
      <c r="D9" s="25" t="s">
        <v>20</v>
      </c>
      <c r="E9" s="26"/>
      <c r="F9" s="26"/>
      <c r="G9" s="26"/>
      <c r="H9" s="26"/>
      <c r="I9" s="26"/>
      <c r="J9" s="26"/>
      <c r="K9" s="26"/>
      <c r="L9" s="27"/>
      <c r="M9" s="27"/>
      <c r="N9" s="27"/>
      <c r="O9" s="27"/>
    </row>
    <row r="10" spans="1:15" s="22" customFormat="1" ht="14.25" customHeight="1" x14ac:dyDescent="0.25">
      <c r="A10" s="17" t="s">
        <v>21</v>
      </c>
      <c r="B10" s="29">
        <v>135</v>
      </c>
      <c r="C10" s="19" t="s">
        <v>22</v>
      </c>
      <c r="D10" s="20"/>
      <c r="E10" s="19"/>
      <c r="F10" s="19"/>
      <c r="G10" s="19"/>
      <c r="H10" s="19"/>
      <c r="I10" s="19"/>
      <c r="J10" s="19"/>
      <c r="K10" s="19"/>
      <c r="L10" s="21"/>
      <c r="M10" s="21"/>
      <c r="N10" s="21"/>
      <c r="O10" s="21"/>
    </row>
    <row r="11" spans="1:15" s="22" customFormat="1" ht="14.25" customHeight="1" x14ac:dyDescent="0.25">
      <c r="A11" s="17" t="s">
        <v>23</v>
      </c>
      <c r="B11" s="29">
        <v>135</v>
      </c>
      <c r="C11" s="19" t="s">
        <v>22</v>
      </c>
      <c r="D11" s="20"/>
      <c r="E11" s="19"/>
      <c r="F11" s="19"/>
      <c r="G11" s="19"/>
      <c r="H11" s="19"/>
      <c r="I11" s="19"/>
      <c r="J11" s="19"/>
      <c r="K11" s="19"/>
      <c r="L11" s="21"/>
      <c r="M11" s="21"/>
      <c r="N11" s="21"/>
      <c r="O11" s="21"/>
    </row>
    <row r="12" spans="1:15" s="22" customFormat="1" ht="14.25" customHeight="1" x14ac:dyDescent="0.25">
      <c r="A12" s="17" t="s">
        <v>24</v>
      </c>
      <c r="B12" s="29">
        <v>56.22</v>
      </c>
      <c r="C12" s="19" t="s">
        <v>25</v>
      </c>
      <c r="D12" s="20"/>
      <c r="E12" s="19"/>
      <c r="F12" s="19"/>
      <c r="G12" s="19"/>
      <c r="H12" s="19"/>
      <c r="I12" s="19"/>
      <c r="J12" s="19"/>
      <c r="K12" s="19"/>
      <c r="L12" s="21"/>
      <c r="M12" s="21"/>
      <c r="N12" s="21"/>
      <c r="O12" s="21"/>
    </row>
    <row r="13" spans="1:15" s="28" customFormat="1" ht="14.25" customHeight="1" x14ac:dyDescent="0.25">
      <c r="A13" s="17" t="s">
        <v>24</v>
      </c>
      <c r="B13" s="18">
        <f>B12*0.0036</f>
        <v>0.20239199999999999</v>
      </c>
      <c r="C13" s="19" t="s">
        <v>26</v>
      </c>
      <c r="D13" s="20" t="s">
        <v>27</v>
      </c>
      <c r="E13" s="19"/>
      <c r="F13" s="19"/>
      <c r="G13" s="19"/>
      <c r="H13" s="19"/>
      <c r="I13" s="19"/>
      <c r="J13" s="19"/>
      <c r="K13" s="19"/>
      <c r="L13" s="21"/>
      <c r="M13" s="21"/>
      <c r="N13" s="21"/>
      <c r="O13" s="21"/>
    </row>
    <row r="14" spans="1:15" s="22" customFormat="1" ht="14.25" customHeight="1" x14ac:dyDescent="0.25">
      <c r="A14" s="17" t="s">
        <v>28</v>
      </c>
      <c r="B14" s="30">
        <v>0.9</v>
      </c>
      <c r="C14" s="19"/>
      <c r="D14" s="20" t="s">
        <v>29</v>
      </c>
      <c r="E14" s="19"/>
      <c r="F14" s="19"/>
      <c r="G14" s="19"/>
      <c r="H14" s="19"/>
      <c r="I14" s="19"/>
      <c r="J14" s="19"/>
      <c r="K14" s="19"/>
      <c r="L14" s="21"/>
      <c r="M14" s="21"/>
      <c r="N14" s="21"/>
      <c r="O14" s="21"/>
    </row>
    <row r="15" spans="1:15" s="22" customFormat="1" ht="14.25" customHeight="1" x14ac:dyDescent="0.25">
      <c r="A15" s="17" t="s">
        <v>30</v>
      </c>
      <c r="B15" s="18">
        <f>B13/B14</f>
        <v>0.22487999999999997</v>
      </c>
      <c r="C15" s="19" t="s">
        <v>31</v>
      </c>
      <c r="D15" s="20" t="s">
        <v>32</v>
      </c>
      <c r="E15" s="19"/>
      <c r="F15" s="19"/>
      <c r="G15" s="19"/>
      <c r="H15" s="19"/>
      <c r="I15" s="19"/>
      <c r="J15" s="19"/>
      <c r="K15" s="19"/>
      <c r="L15" s="21"/>
      <c r="M15" s="21"/>
      <c r="N15" s="21"/>
      <c r="O15" s="21"/>
    </row>
    <row r="16" spans="1:15" s="22" customFormat="1" ht="14.25" customHeight="1" x14ac:dyDescent="0.25">
      <c r="A16" s="17" t="s">
        <v>33</v>
      </c>
      <c r="B16" s="31">
        <f>B10/1000*B15</f>
        <v>3.0358799999999998E-2</v>
      </c>
      <c r="C16" s="22" t="s">
        <v>34</v>
      </c>
      <c r="D16" s="20"/>
      <c r="E16" s="19"/>
      <c r="F16" s="19"/>
      <c r="G16" s="19"/>
      <c r="H16" s="19"/>
      <c r="I16" s="19"/>
      <c r="J16" s="19"/>
      <c r="K16" s="19"/>
      <c r="L16" s="21"/>
      <c r="M16" s="21"/>
      <c r="N16" s="21"/>
      <c r="O16" s="21"/>
    </row>
    <row r="17" spans="1:15" s="22" customFormat="1" ht="14.25" customHeight="1" x14ac:dyDescent="0.25">
      <c r="A17" s="17" t="s">
        <v>35</v>
      </c>
      <c r="B17" s="31">
        <f>B11/1000*B15</f>
        <v>3.0358799999999998E-2</v>
      </c>
      <c r="C17" s="22" t="s">
        <v>34</v>
      </c>
      <c r="D17" s="20"/>
      <c r="E17" s="19"/>
      <c r="F17" s="19"/>
      <c r="G17" s="19"/>
      <c r="H17" s="19"/>
      <c r="I17" s="19"/>
      <c r="J17" s="19"/>
      <c r="K17" s="19"/>
      <c r="L17" s="21"/>
      <c r="M17" s="21"/>
      <c r="N17" s="21"/>
      <c r="O17" s="21"/>
    </row>
    <row r="18" spans="1:15" s="22" customFormat="1" ht="14.25" customHeight="1" x14ac:dyDescent="0.25">
      <c r="A18" s="17"/>
      <c r="B18" s="31"/>
      <c r="D18" s="20"/>
      <c r="E18" s="19"/>
      <c r="F18" s="19"/>
      <c r="G18" s="19"/>
      <c r="H18" s="19"/>
      <c r="I18" s="19"/>
      <c r="J18" s="19"/>
      <c r="K18" s="19"/>
      <c r="L18" s="21"/>
      <c r="M18" s="21"/>
      <c r="N18" s="21"/>
      <c r="O18" s="21"/>
    </row>
    <row r="19" spans="1:15" s="22" customFormat="1" ht="14.25" customHeight="1" x14ac:dyDescent="0.25">
      <c r="A19" s="17"/>
      <c r="B19" s="31"/>
      <c r="D19" s="20"/>
      <c r="E19" s="19"/>
      <c r="F19" s="19"/>
      <c r="G19" s="19"/>
      <c r="H19" s="19"/>
      <c r="I19" s="19"/>
      <c r="J19" s="19"/>
      <c r="K19" s="19"/>
      <c r="L19" s="21"/>
      <c r="M19" s="21"/>
      <c r="N19" s="21"/>
      <c r="O19" s="21"/>
    </row>
    <row r="20" spans="1:15" s="22" customFormat="1" ht="14.25" customHeight="1" x14ac:dyDescent="0.25">
      <c r="A20" s="17"/>
      <c r="B20" s="35"/>
      <c r="C20" s="17"/>
      <c r="D20" s="20"/>
      <c r="E20" s="19"/>
      <c r="F20" s="19"/>
      <c r="G20" s="19"/>
      <c r="H20" s="19"/>
      <c r="I20" s="19"/>
      <c r="J20" s="19"/>
      <c r="K20" s="19"/>
      <c r="L20" s="21"/>
      <c r="M20" s="21"/>
      <c r="N20" s="21"/>
      <c r="O20" s="21"/>
    </row>
    <row r="21" spans="1:15" s="45" customFormat="1" ht="14.25" customHeight="1" x14ac:dyDescent="0.25">
      <c r="A21" s="43" t="s">
        <v>36</v>
      </c>
      <c r="B21" s="44"/>
      <c r="C21" s="43"/>
      <c r="D21" s="43"/>
      <c r="E21" s="43"/>
      <c r="F21" s="43"/>
      <c r="G21" s="43"/>
      <c r="H21" s="43"/>
      <c r="I21" s="43"/>
      <c r="J21" s="43"/>
      <c r="K21" s="43"/>
    </row>
    <row r="22" spans="1:15" s="22" customFormat="1" ht="14.25" customHeight="1" x14ac:dyDescent="0.25">
      <c r="A22" s="290" t="s">
        <v>2</v>
      </c>
      <c r="B22" s="291"/>
      <c r="C22" s="291"/>
      <c r="D22" s="291"/>
      <c r="E22" s="291"/>
      <c r="F22" s="291"/>
      <c r="G22" s="291"/>
      <c r="H22" s="291"/>
      <c r="I22" s="291"/>
      <c r="J22" s="291"/>
      <c r="K22" s="291"/>
      <c r="L22" s="291"/>
      <c r="M22" s="291"/>
      <c r="N22" s="291"/>
      <c r="O22" s="291"/>
    </row>
    <row r="23" spans="1:15" s="22" customFormat="1" ht="14.25" customHeight="1" x14ac:dyDescent="0.25">
      <c r="A23" s="46"/>
      <c r="B23" s="47"/>
      <c r="C23" s="47"/>
      <c r="D23" s="47"/>
      <c r="E23" s="47"/>
      <c r="F23" s="47"/>
      <c r="G23" s="47"/>
      <c r="H23" s="47"/>
      <c r="I23" s="47"/>
      <c r="J23" s="47"/>
      <c r="K23" s="47"/>
      <c r="L23" s="47"/>
      <c r="M23" s="47"/>
      <c r="N23" s="47"/>
      <c r="O23" s="47"/>
    </row>
    <row r="24" spans="1:15" s="28" customFormat="1" ht="14.25" customHeight="1" x14ac:dyDescent="0.25">
      <c r="A24" s="23" t="s">
        <v>17</v>
      </c>
      <c r="B24" s="24" t="s">
        <v>18</v>
      </c>
      <c r="C24" s="23" t="s">
        <v>19</v>
      </c>
      <c r="D24" s="25" t="s">
        <v>20</v>
      </c>
      <c r="E24" s="26"/>
      <c r="F24" s="26"/>
      <c r="G24" s="26"/>
      <c r="H24" s="26"/>
      <c r="I24" s="26"/>
      <c r="J24" s="26"/>
      <c r="K24" s="26"/>
      <c r="L24" s="27"/>
      <c r="M24" s="27"/>
      <c r="N24" s="27"/>
      <c r="O24" s="27"/>
    </row>
    <row r="25" spans="1:15" s="22" customFormat="1" ht="14.25" customHeight="1" x14ac:dyDescent="0.25">
      <c r="A25" s="37" t="s">
        <v>37</v>
      </c>
      <c r="B25" s="33">
        <v>10</v>
      </c>
      <c r="C25" s="37" t="s">
        <v>38</v>
      </c>
      <c r="D25" s="20"/>
      <c r="E25" s="19"/>
      <c r="F25" s="19"/>
      <c r="G25" s="19"/>
      <c r="H25" s="19"/>
      <c r="I25" s="19"/>
      <c r="J25" s="19"/>
      <c r="K25" s="19"/>
      <c r="L25" s="21"/>
      <c r="M25" s="21"/>
      <c r="N25" s="21"/>
      <c r="O25" s="21"/>
    </row>
    <row r="26" spans="1:15" s="22" customFormat="1" ht="14.25" customHeight="1" x14ac:dyDescent="0.25">
      <c r="A26" s="37" t="s">
        <v>39</v>
      </c>
      <c r="B26" s="38">
        <v>0.02</v>
      </c>
      <c r="C26" s="19"/>
      <c r="D26" s="20" t="s">
        <v>40</v>
      </c>
      <c r="E26" s="19"/>
      <c r="F26" s="19"/>
      <c r="G26" s="19"/>
      <c r="H26" s="19"/>
      <c r="I26" s="19"/>
      <c r="J26" s="19"/>
      <c r="K26" s="19"/>
      <c r="L26" s="21"/>
      <c r="M26" s="21"/>
      <c r="N26" s="21"/>
      <c r="O26" s="21"/>
    </row>
    <row r="27" spans="1:15" s="22" customFormat="1" ht="14.25" customHeight="1" x14ac:dyDescent="0.25">
      <c r="A27" s="37" t="s">
        <v>41</v>
      </c>
      <c r="B27" s="38">
        <v>5.7500000000000002E-2</v>
      </c>
      <c r="C27" s="19"/>
      <c r="D27" s="20" t="s">
        <v>42</v>
      </c>
      <c r="E27" s="19"/>
      <c r="F27" s="19"/>
      <c r="G27" s="19"/>
      <c r="H27" s="19"/>
      <c r="I27" s="19"/>
      <c r="J27" s="19"/>
      <c r="K27" s="19"/>
      <c r="L27" s="21"/>
      <c r="M27" s="21"/>
      <c r="N27" s="21"/>
      <c r="O27" s="21"/>
    </row>
    <row r="28" spans="1:15" s="22" customFormat="1" ht="14.25" customHeight="1" x14ac:dyDescent="0.25">
      <c r="A28" s="37" t="s">
        <v>43</v>
      </c>
      <c r="B28" s="42">
        <v>0.12</v>
      </c>
      <c r="C28" s="19"/>
      <c r="D28" s="20" t="s">
        <v>44</v>
      </c>
      <c r="E28" s="19"/>
      <c r="F28" s="19"/>
      <c r="G28" s="19"/>
      <c r="H28" s="19"/>
      <c r="I28" s="19"/>
      <c r="J28" s="19"/>
      <c r="K28" s="19"/>
      <c r="L28" s="21"/>
      <c r="M28" s="21"/>
      <c r="N28" s="21"/>
      <c r="O28" s="21"/>
    </row>
    <row r="29" spans="1:15" s="22" customFormat="1" ht="14.25" customHeight="1" x14ac:dyDescent="0.25">
      <c r="A29" s="37" t="s">
        <v>45</v>
      </c>
      <c r="B29" s="42">
        <f>1-B30</f>
        <v>0.58200000000000007</v>
      </c>
      <c r="D29" s="20" t="s">
        <v>46</v>
      </c>
      <c r="E29" s="21"/>
      <c r="F29" s="21"/>
      <c r="G29" s="21"/>
      <c r="H29" s="21"/>
      <c r="I29" s="21"/>
      <c r="J29" s="21"/>
      <c r="K29" s="21"/>
      <c r="L29" s="21"/>
      <c r="M29" s="21"/>
      <c r="N29" s="21"/>
      <c r="O29" s="21"/>
    </row>
    <row r="30" spans="1:15" s="22" customFormat="1" ht="14.25" customHeight="1" x14ac:dyDescent="0.25">
      <c r="A30" s="37" t="s">
        <v>47</v>
      </c>
      <c r="B30" s="42">
        <v>0.41799999999999998</v>
      </c>
      <c r="D30" s="20" t="s">
        <v>46</v>
      </c>
      <c r="E30" s="21"/>
      <c r="F30" s="21"/>
      <c r="G30" s="21"/>
      <c r="H30" s="21"/>
      <c r="I30" s="21"/>
      <c r="J30" s="21"/>
      <c r="K30" s="21"/>
      <c r="L30" s="21"/>
      <c r="M30" s="21"/>
      <c r="N30" s="21"/>
      <c r="O30" s="21"/>
    </row>
    <row r="31" spans="1:15" s="22" customFormat="1" ht="14.25" customHeight="1" x14ac:dyDescent="0.25">
      <c r="A31" s="37" t="s">
        <v>48</v>
      </c>
      <c r="B31" s="39">
        <v>0.25</v>
      </c>
      <c r="C31" s="17"/>
      <c r="D31" s="20"/>
      <c r="E31" s="19"/>
      <c r="F31" s="19"/>
      <c r="G31" s="19"/>
      <c r="H31" s="19"/>
      <c r="I31" s="19"/>
      <c r="J31" s="19"/>
      <c r="K31" s="19"/>
      <c r="L31" s="21"/>
      <c r="M31" s="21"/>
      <c r="N31" s="21"/>
      <c r="O31" s="21"/>
    </row>
    <row r="32" spans="1:15" s="22" customFormat="1" ht="14.25" customHeight="1" x14ac:dyDescent="0.25">
      <c r="A32" s="37" t="s">
        <v>49</v>
      </c>
      <c r="B32" s="34">
        <f>(B30*B28)+((B29*B27)*(1-B31))</f>
        <v>7.5258749999999999E-2</v>
      </c>
      <c r="D32" s="20" t="s">
        <v>50</v>
      </c>
      <c r="E32" s="19"/>
      <c r="F32" s="19"/>
      <c r="G32" s="19"/>
      <c r="H32" s="19"/>
      <c r="I32" s="19"/>
      <c r="J32" s="19"/>
      <c r="K32" s="19"/>
      <c r="L32" s="21"/>
      <c r="M32" s="21"/>
      <c r="N32" s="21"/>
      <c r="O32" s="21"/>
    </row>
    <row r="33" spans="1:17" s="22" customFormat="1" ht="14.25" customHeight="1" x14ac:dyDescent="0.25">
      <c r="A33" s="37"/>
      <c r="B33" s="34"/>
      <c r="D33" s="20" t="s">
        <v>51</v>
      </c>
      <c r="E33" s="19"/>
      <c r="F33" s="19"/>
      <c r="G33" s="19"/>
      <c r="H33" s="19"/>
      <c r="I33" s="19"/>
      <c r="J33" s="19"/>
      <c r="K33" s="19"/>
      <c r="L33" s="21"/>
      <c r="M33" s="21"/>
      <c r="N33" s="21"/>
      <c r="O33" s="21"/>
    </row>
    <row r="34" spans="1:17" s="22" customFormat="1" ht="14.25" customHeight="1" x14ac:dyDescent="0.25">
      <c r="A34" s="37"/>
      <c r="B34" s="34"/>
      <c r="D34" s="20" t="s">
        <v>52</v>
      </c>
      <c r="E34" s="19"/>
      <c r="F34" s="19"/>
      <c r="G34" s="19"/>
      <c r="H34" s="19"/>
      <c r="I34" s="19"/>
      <c r="J34" s="19"/>
      <c r="K34" s="19"/>
      <c r="L34" s="21"/>
      <c r="M34" s="21"/>
      <c r="N34" s="21"/>
      <c r="O34" s="21"/>
    </row>
    <row r="35" spans="1:17" s="22" customFormat="1" ht="14.25" customHeight="1" x14ac:dyDescent="0.25">
      <c r="A35" s="37"/>
      <c r="B35" s="34"/>
      <c r="D35" s="20" t="s">
        <v>53</v>
      </c>
      <c r="E35" s="19"/>
      <c r="F35" s="19"/>
      <c r="G35" s="19"/>
      <c r="H35" s="19"/>
      <c r="I35" s="19"/>
      <c r="J35" s="19"/>
      <c r="K35" s="19"/>
      <c r="L35" s="21"/>
      <c r="M35" s="21"/>
      <c r="N35" s="21"/>
      <c r="O35" s="21"/>
    </row>
    <row r="36" spans="1:17" s="22" customFormat="1" ht="14.25" customHeight="1" x14ac:dyDescent="0.25">
      <c r="A36" s="37"/>
      <c r="B36" s="34"/>
      <c r="D36" s="20" t="s">
        <v>54</v>
      </c>
      <c r="E36" s="19"/>
      <c r="F36" s="19"/>
      <c r="G36" s="19"/>
      <c r="H36" s="19"/>
      <c r="I36" s="19"/>
      <c r="J36" s="19"/>
      <c r="K36" s="19"/>
      <c r="L36" s="21"/>
      <c r="M36" s="21"/>
      <c r="N36" s="21"/>
      <c r="O36" s="21"/>
    </row>
    <row r="37" spans="1:17" s="22" customFormat="1" ht="14.25" customHeight="1" x14ac:dyDescent="0.25">
      <c r="A37" s="37"/>
      <c r="B37" s="34"/>
      <c r="D37" s="20"/>
      <c r="E37" s="19"/>
      <c r="F37" s="19"/>
      <c r="G37" s="19"/>
      <c r="H37" s="19"/>
      <c r="I37" s="19"/>
      <c r="J37" s="19"/>
      <c r="K37" s="19"/>
      <c r="L37" s="21"/>
      <c r="M37" s="21"/>
      <c r="N37" s="21"/>
      <c r="O37" s="21"/>
    </row>
    <row r="38" spans="1:17" s="22" customFormat="1" ht="14.25" customHeight="1" x14ac:dyDescent="0.25">
      <c r="D38" s="20"/>
      <c r="E38" s="21"/>
      <c r="F38" s="21"/>
      <c r="G38" s="21"/>
      <c r="H38" s="21"/>
      <c r="I38" s="21"/>
      <c r="J38" s="21"/>
      <c r="K38" s="21"/>
      <c r="L38" s="21"/>
      <c r="M38" s="21"/>
      <c r="N38" s="21"/>
      <c r="O38" s="21"/>
    </row>
    <row r="39" spans="1:17" s="45" customFormat="1" ht="14.25" customHeight="1" x14ac:dyDescent="0.15">
      <c r="A39" s="1"/>
      <c r="B39" s="1"/>
      <c r="C39" s="1"/>
      <c r="D39" s="1"/>
      <c r="E39" s="1"/>
      <c r="F39" s="1"/>
      <c r="G39" s="1"/>
      <c r="H39" s="1"/>
      <c r="I39" s="1"/>
      <c r="J39" s="1"/>
      <c r="K39" s="1"/>
      <c r="L39" s="1"/>
      <c r="M39" s="1"/>
      <c r="N39" s="1"/>
      <c r="O39" s="1"/>
      <c r="P39" s="1"/>
      <c r="Q39" s="1"/>
    </row>
    <row r="40" spans="1:17" s="22" customFormat="1" ht="14.25" customHeight="1" x14ac:dyDescent="0.15">
      <c r="A40" s="1"/>
      <c r="B40" s="1"/>
      <c r="C40" s="1"/>
      <c r="D40" s="1"/>
      <c r="E40" s="1"/>
      <c r="F40" s="1"/>
      <c r="G40" s="1"/>
      <c r="H40" s="1"/>
      <c r="I40" s="1"/>
      <c r="J40" s="1"/>
      <c r="K40" s="1"/>
      <c r="L40" s="1"/>
      <c r="M40" s="1"/>
      <c r="N40" s="1"/>
      <c r="O40" s="1"/>
      <c r="P40" s="1"/>
      <c r="Q40" s="1"/>
    </row>
    <row r="41" spans="1:17" s="22" customFormat="1" ht="14.25" customHeight="1" x14ac:dyDescent="0.15">
      <c r="A41" s="1"/>
      <c r="B41" s="1"/>
      <c r="C41" s="1"/>
      <c r="D41" s="1"/>
      <c r="E41" s="1"/>
      <c r="F41" s="1"/>
      <c r="G41" s="1"/>
      <c r="H41" s="1"/>
      <c r="I41" s="1"/>
      <c r="J41" s="1"/>
      <c r="K41" s="1"/>
      <c r="L41" s="1"/>
      <c r="M41" s="1"/>
      <c r="N41" s="1"/>
      <c r="O41" s="1"/>
      <c r="P41" s="1"/>
      <c r="Q41" s="1"/>
    </row>
    <row r="42" spans="1:17" s="28" customFormat="1" ht="14.25" customHeight="1" x14ac:dyDescent="0.15">
      <c r="A42" s="1"/>
      <c r="B42" s="1"/>
      <c r="C42" s="1"/>
      <c r="D42" s="1"/>
      <c r="E42" s="1"/>
      <c r="F42" s="1"/>
      <c r="G42" s="1"/>
      <c r="H42" s="1"/>
      <c r="I42" s="1"/>
      <c r="J42" s="1"/>
      <c r="K42" s="1"/>
      <c r="L42" s="1"/>
      <c r="M42" s="1"/>
      <c r="N42" s="1"/>
      <c r="O42" s="1"/>
      <c r="P42" s="1"/>
      <c r="Q42" s="1"/>
    </row>
    <row r="43" spans="1:17" s="22" customFormat="1" ht="14.25" customHeight="1" x14ac:dyDescent="0.15">
      <c r="A43" s="1"/>
      <c r="B43" s="1"/>
      <c r="C43" s="1"/>
      <c r="D43" s="1"/>
      <c r="E43" s="1"/>
      <c r="F43" s="1"/>
      <c r="G43" s="1"/>
      <c r="H43" s="1"/>
      <c r="I43" s="1"/>
      <c r="J43" s="1"/>
      <c r="K43" s="1"/>
      <c r="L43" s="1"/>
      <c r="M43" s="1"/>
      <c r="N43" s="1"/>
      <c r="O43" s="1"/>
      <c r="P43" s="1"/>
      <c r="Q43" s="1"/>
    </row>
    <row r="44" spans="1:17" s="22" customFormat="1" ht="14.25" customHeight="1" x14ac:dyDescent="0.15">
      <c r="A44" s="1"/>
      <c r="B44" s="1"/>
      <c r="C44" s="1"/>
      <c r="D44" s="1"/>
      <c r="E44" s="1"/>
      <c r="F44" s="1"/>
      <c r="G44" s="1"/>
      <c r="H44" s="1"/>
      <c r="I44" s="1"/>
      <c r="J44" s="1"/>
      <c r="K44" s="1"/>
      <c r="L44" s="1"/>
      <c r="M44" s="1"/>
      <c r="N44" s="1"/>
      <c r="O44" s="1"/>
      <c r="P44" s="1"/>
      <c r="Q44" s="1"/>
    </row>
    <row r="45" spans="1:17" s="22" customFormat="1" ht="14.25" customHeight="1" x14ac:dyDescent="0.15">
      <c r="A45" s="1"/>
      <c r="B45" s="1"/>
      <c r="C45" s="1"/>
      <c r="D45" s="1"/>
      <c r="E45" s="1"/>
      <c r="F45" s="1"/>
      <c r="G45" s="1"/>
      <c r="H45" s="1"/>
      <c r="I45" s="1"/>
      <c r="J45" s="1"/>
      <c r="K45" s="1"/>
      <c r="L45" s="1"/>
      <c r="M45" s="1"/>
      <c r="N45" s="1"/>
      <c r="O45" s="1"/>
      <c r="P45" s="1"/>
      <c r="Q45" s="1"/>
    </row>
    <row r="46" spans="1:17" s="22" customFormat="1" ht="14.25" customHeight="1" x14ac:dyDescent="0.15">
      <c r="A46" s="1"/>
      <c r="B46" s="1"/>
      <c r="C46" s="1"/>
      <c r="D46" s="1"/>
      <c r="E46" s="1"/>
      <c r="F46" s="1"/>
      <c r="G46" s="1"/>
      <c r="H46" s="1"/>
      <c r="I46" s="1"/>
      <c r="J46" s="1"/>
      <c r="K46" s="1"/>
      <c r="L46" s="1"/>
      <c r="M46" s="1"/>
      <c r="N46" s="1"/>
      <c r="O46" s="1"/>
      <c r="P46" s="1"/>
      <c r="Q46" s="1"/>
    </row>
    <row r="47" spans="1:17" s="22" customFormat="1" ht="14.25" customHeight="1" x14ac:dyDescent="0.15">
      <c r="A47" s="1"/>
      <c r="B47" s="1"/>
      <c r="C47" s="1"/>
      <c r="D47" s="1"/>
      <c r="E47" s="1"/>
      <c r="F47" s="1"/>
      <c r="G47" s="1"/>
      <c r="H47" s="1"/>
      <c r="I47" s="1"/>
      <c r="J47" s="1"/>
      <c r="K47" s="1"/>
      <c r="L47" s="1"/>
      <c r="M47" s="1"/>
      <c r="N47" s="1"/>
      <c r="O47" s="1"/>
      <c r="P47" s="1"/>
      <c r="Q47" s="1"/>
    </row>
    <row r="48" spans="1:17" s="22" customFormat="1" ht="14.25" customHeight="1" x14ac:dyDescent="0.15">
      <c r="A48" s="1"/>
      <c r="B48" s="1"/>
      <c r="C48" s="1"/>
      <c r="D48" s="1"/>
      <c r="E48" s="1"/>
      <c r="F48" s="1"/>
      <c r="G48" s="1"/>
      <c r="H48" s="1"/>
      <c r="I48" s="1"/>
      <c r="J48" s="1"/>
      <c r="K48" s="1"/>
      <c r="L48" s="1"/>
      <c r="M48" s="1"/>
      <c r="N48" s="1"/>
      <c r="O48" s="1"/>
      <c r="P48" s="1"/>
      <c r="Q48" s="1"/>
    </row>
    <row r="49" spans="1:17" s="22" customFormat="1" ht="14.25" customHeight="1" x14ac:dyDescent="0.15">
      <c r="A49" s="1"/>
      <c r="B49" s="1"/>
      <c r="C49" s="1"/>
      <c r="D49" s="1"/>
      <c r="E49" s="1"/>
      <c r="F49" s="1"/>
      <c r="G49" s="1"/>
      <c r="H49" s="1"/>
      <c r="I49" s="1"/>
      <c r="J49" s="1"/>
      <c r="K49" s="1"/>
      <c r="L49" s="1"/>
      <c r="M49" s="1"/>
      <c r="N49" s="1"/>
      <c r="O49" s="1"/>
      <c r="P49" s="1"/>
      <c r="Q49" s="1"/>
    </row>
    <row r="50" spans="1:17" s="22" customFormat="1" ht="14.25" customHeight="1" x14ac:dyDescent="0.15">
      <c r="A50" s="1"/>
      <c r="B50" s="1"/>
      <c r="C50" s="1"/>
      <c r="D50" s="1"/>
      <c r="E50" s="1"/>
      <c r="F50" s="1"/>
      <c r="G50" s="1"/>
      <c r="H50" s="1"/>
      <c r="I50" s="1"/>
      <c r="J50" s="1"/>
      <c r="K50" s="1"/>
      <c r="L50" s="1"/>
      <c r="M50" s="1"/>
      <c r="N50" s="1"/>
      <c r="O50" s="1"/>
      <c r="P50" s="1"/>
      <c r="Q50" s="1"/>
    </row>
    <row r="51" spans="1:17" s="22" customFormat="1" ht="14.25" customHeight="1" x14ac:dyDescent="0.15">
      <c r="A51" s="1"/>
      <c r="B51" s="1"/>
      <c r="C51" s="1"/>
      <c r="D51" s="1"/>
      <c r="E51" s="1"/>
      <c r="F51" s="1"/>
      <c r="G51" s="1"/>
      <c r="H51" s="1"/>
      <c r="I51" s="1"/>
      <c r="J51" s="1"/>
      <c r="K51" s="1"/>
      <c r="L51" s="1"/>
      <c r="M51" s="1"/>
      <c r="N51" s="1"/>
      <c r="O51" s="1"/>
      <c r="P51" s="1"/>
      <c r="Q51" s="1"/>
    </row>
    <row r="52" spans="1:17" s="45" customFormat="1" ht="14.25" customHeight="1" x14ac:dyDescent="0.15">
      <c r="A52" s="1"/>
      <c r="B52" s="1"/>
      <c r="C52" s="1"/>
      <c r="D52" s="1"/>
      <c r="E52" s="1"/>
      <c r="F52" s="1"/>
      <c r="G52" s="1"/>
      <c r="H52" s="1"/>
      <c r="I52" s="1"/>
      <c r="J52" s="1"/>
      <c r="K52" s="1"/>
      <c r="L52" s="1"/>
      <c r="M52" s="1"/>
      <c r="N52" s="1"/>
      <c r="O52" s="1"/>
      <c r="P52" s="1"/>
      <c r="Q52" s="1"/>
    </row>
    <row r="53" spans="1:17" s="22" customFormat="1" ht="14.25" customHeight="1" x14ac:dyDescent="0.15">
      <c r="A53" s="1"/>
      <c r="B53" s="1"/>
      <c r="C53" s="1"/>
      <c r="D53" s="1"/>
      <c r="E53" s="1"/>
      <c r="F53" s="1"/>
      <c r="G53" s="1"/>
      <c r="H53" s="1"/>
      <c r="I53" s="1"/>
      <c r="J53" s="1"/>
      <c r="K53" s="1"/>
      <c r="L53" s="1"/>
      <c r="M53" s="1"/>
      <c r="N53" s="1"/>
      <c r="O53" s="1"/>
      <c r="P53" s="1"/>
      <c r="Q53" s="1"/>
    </row>
    <row r="54" spans="1:17" s="22" customFormat="1" ht="14.25" customHeight="1" x14ac:dyDescent="0.15">
      <c r="A54" s="1"/>
      <c r="B54" s="1"/>
      <c r="C54" s="1"/>
      <c r="D54" s="1"/>
      <c r="E54" s="1"/>
      <c r="F54" s="1"/>
      <c r="G54" s="1"/>
      <c r="H54" s="1"/>
      <c r="I54" s="1"/>
      <c r="J54" s="1"/>
      <c r="K54" s="1"/>
      <c r="L54" s="1"/>
      <c r="M54" s="1"/>
      <c r="N54" s="1"/>
      <c r="O54" s="1"/>
      <c r="P54" s="1"/>
      <c r="Q54" s="1"/>
    </row>
    <row r="55" spans="1:17" s="28" customFormat="1" ht="14.25" customHeight="1" x14ac:dyDescent="0.15">
      <c r="A55" s="1"/>
      <c r="B55" s="1"/>
      <c r="C55" s="1"/>
      <c r="D55" s="1"/>
      <c r="E55" s="1"/>
      <c r="F55" s="1"/>
      <c r="G55" s="1"/>
      <c r="H55" s="1"/>
      <c r="I55" s="1"/>
      <c r="J55" s="1"/>
      <c r="K55" s="1"/>
      <c r="L55" s="1"/>
      <c r="M55" s="1"/>
      <c r="N55" s="1"/>
      <c r="O55" s="1"/>
      <c r="P55" s="1"/>
      <c r="Q55" s="1"/>
    </row>
    <row r="56" spans="1:17" s="22" customFormat="1" ht="14.25" customHeight="1" x14ac:dyDescent="0.15">
      <c r="A56" s="1"/>
      <c r="B56" s="1"/>
      <c r="C56" s="1"/>
      <c r="D56" s="1"/>
      <c r="E56" s="1"/>
      <c r="F56" s="1"/>
      <c r="G56" s="1"/>
      <c r="H56" s="1"/>
      <c r="I56" s="1"/>
      <c r="J56" s="1"/>
      <c r="K56" s="1"/>
      <c r="L56" s="1"/>
      <c r="M56" s="1"/>
      <c r="N56" s="1"/>
      <c r="O56" s="1"/>
      <c r="P56" s="1"/>
      <c r="Q56" s="1"/>
    </row>
    <row r="57" spans="1:17" s="22" customFormat="1" ht="14.25" customHeight="1" x14ac:dyDescent="0.15">
      <c r="A57" s="1"/>
      <c r="B57" s="1"/>
      <c r="C57" s="1"/>
      <c r="D57" s="1"/>
      <c r="E57" s="1"/>
      <c r="F57" s="1"/>
      <c r="G57" s="1"/>
      <c r="H57" s="1"/>
      <c r="I57" s="1"/>
      <c r="J57" s="1"/>
      <c r="K57" s="1"/>
      <c r="L57" s="1"/>
      <c r="M57" s="1"/>
      <c r="N57" s="1"/>
      <c r="O57" s="1"/>
      <c r="P57" s="1"/>
      <c r="Q57" s="1"/>
    </row>
    <row r="58" spans="1:17" s="22" customFormat="1" ht="14.25" customHeight="1" x14ac:dyDescent="0.15">
      <c r="A58" s="1"/>
      <c r="B58" s="1"/>
      <c r="C58" s="1"/>
      <c r="D58" s="1"/>
      <c r="E58" s="1"/>
      <c r="F58" s="1"/>
      <c r="G58" s="1"/>
      <c r="H58" s="1"/>
      <c r="I58" s="1"/>
      <c r="J58" s="1"/>
      <c r="K58" s="1"/>
      <c r="L58" s="1"/>
      <c r="M58" s="1"/>
      <c r="N58" s="1"/>
      <c r="O58" s="1"/>
      <c r="P58" s="1"/>
      <c r="Q58" s="1"/>
    </row>
    <row r="59" spans="1:17" s="22" customFormat="1" ht="14.25" customHeight="1" x14ac:dyDescent="0.15">
      <c r="A59" s="1"/>
      <c r="B59" s="1"/>
      <c r="C59" s="1"/>
      <c r="D59" s="1"/>
      <c r="E59" s="1"/>
      <c r="F59" s="1"/>
      <c r="G59" s="1"/>
      <c r="H59" s="1"/>
      <c r="I59" s="1"/>
      <c r="J59" s="1"/>
      <c r="K59" s="1"/>
      <c r="L59" s="1"/>
      <c r="M59" s="1"/>
      <c r="N59" s="1"/>
      <c r="O59" s="1"/>
      <c r="P59" s="1"/>
      <c r="Q59" s="1"/>
    </row>
    <row r="60" spans="1:17" s="22" customFormat="1" ht="14.25" customHeight="1" x14ac:dyDescent="0.15">
      <c r="A60" s="1"/>
      <c r="B60" s="1"/>
      <c r="C60" s="1"/>
      <c r="D60" s="1"/>
      <c r="E60" s="1"/>
      <c r="F60" s="1"/>
      <c r="G60" s="1"/>
      <c r="H60" s="1"/>
      <c r="I60" s="1"/>
      <c r="J60" s="1"/>
      <c r="K60" s="1"/>
      <c r="L60" s="1"/>
      <c r="M60" s="1"/>
      <c r="N60" s="1"/>
      <c r="O60" s="1"/>
      <c r="P60" s="1"/>
      <c r="Q60" s="1"/>
    </row>
    <row r="61" spans="1:17" s="22" customFormat="1" ht="14.25" customHeight="1" x14ac:dyDescent="0.15">
      <c r="A61" s="1"/>
      <c r="B61" s="1"/>
      <c r="C61" s="1"/>
      <c r="D61" s="1"/>
      <c r="E61" s="1"/>
      <c r="F61" s="1"/>
      <c r="G61" s="1"/>
      <c r="H61" s="1"/>
      <c r="I61" s="1"/>
      <c r="J61" s="1"/>
      <c r="K61" s="1"/>
      <c r="L61" s="1"/>
      <c r="M61" s="1"/>
      <c r="N61" s="1"/>
      <c r="O61" s="1"/>
      <c r="P61" s="1"/>
      <c r="Q61" s="1"/>
    </row>
    <row r="62" spans="1:17" s="22" customFormat="1" ht="14.25" customHeight="1" x14ac:dyDescent="0.15">
      <c r="A62" s="1"/>
      <c r="B62" s="1"/>
      <c r="C62" s="1"/>
      <c r="D62" s="1"/>
      <c r="E62" s="1"/>
      <c r="F62" s="1"/>
      <c r="G62" s="1"/>
      <c r="H62" s="1"/>
      <c r="I62" s="1"/>
      <c r="J62" s="1"/>
      <c r="K62" s="1"/>
      <c r="L62" s="1"/>
      <c r="M62" s="1"/>
      <c r="N62" s="1"/>
      <c r="O62" s="1"/>
      <c r="P62" s="1"/>
      <c r="Q62" s="1"/>
    </row>
    <row r="63" spans="1:17" s="12" customFormat="1" ht="14.25" customHeight="1" x14ac:dyDescent="0.25">
      <c r="A63" s="1"/>
      <c r="B63" s="1"/>
      <c r="C63" s="1"/>
      <c r="D63" s="1"/>
      <c r="E63" s="1"/>
      <c r="F63" s="1"/>
      <c r="G63" s="1"/>
      <c r="H63" s="1"/>
      <c r="I63" s="1"/>
      <c r="J63" s="1"/>
      <c r="K63" s="1"/>
      <c r="L63" s="1"/>
      <c r="M63" s="1"/>
      <c r="N63" s="1"/>
      <c r="O63" s="1"/>
      <c r="P63" s="1"/>
      <c r="Q63" s="1"/>
    </row>
  </sheetData>
  <sheetProtection algorithmName="SHA-512" hashValue="Kd7qaB7qLW1ntoofHjwZHA3eRavvXepA01cHbmPeBW84ccP00k4mLOl1fAlAZU/5CcIT5vrrsDsWKPLWc6m0Ng==" saltValue="oRu9qPyj5/IO+lvzayFzlw==" spinCount="100000" sheet="1" objects="1" scenarios="1"/>
  <mergeCells count="2">
    <mergeCell ref="A7:O7"/>
    <mergeCell ref="A22:O2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55AF5-C300-4A1D-A843-CE7F45D25D5A}">
  <sheetPr>
    <tabColor rgb="FF009B48"/>
  </sheetPr>
  <dimension ref="A1:U60"/>
  <sheetViews>
    <sheetView showGridLines="0" zoomScaleNormal="100" workbookViewId="0">
      <selection activeCell="G20" sqref="G19:G20"/>
    </sheetView>
  </sheetViews>
  <sheetFormatPr defaultColWidth="8.85546875" defaultRowHeight="11.25" x14ac:dyDescent="0.15"/>
  <cols>
    <col min="1" max="1" width="46.140625" style="1" customWidth="1"/>
    <col min="2" max="2" width="14.7109375" style="8" customWidth="1"/>
    <col min="3" max="12" width="18.7109375" style="4" customWidth="1"/>
    <col min="13" max="13" width="14.7109375" style="4" bestFit="1" customWidth="1"/>
    <col min="14" max="14" width="17.28515625" style="4" customWidth="1"/>
    <col min="15" max="16" width="18" style="4" customWidth="1"/>
    <col min="17" max="18" width="16.7109375" style="4" customWidth="1"/>
    <col min="19" max="19" width="11" style="4" customWidth="1"/>
    <col min="20" max="16384" width="8.85546875" style="1"/>
  </cols>
  <sheetData>
    <row r="1" spans="1:20" s="7" customFormat="1" ht="14.25" customHeight="1" x14ac:dyDescent="0.15">
      <c r="A1" s="9"/>
      <c r="B1" s="10"/>
      <c r="C1" s="10"/>
      <c r="D1" s="10"/>
      <c r="E1" s="10"/>
      <c r="F1" s="10"/>
      <c r="G1" s="10"/>
      <c r="H1" s="10"/>
      <c r="I1" s="10"/>
      <c r="J1" s="10"/>
      <c r="K1" s="10"/>
      <c r="L1" s="10"/>
      <c r="M1" s="10"/>
      <c r="N1" s="10"/>
      <c r="O1" s="10"/>
      <c r="P1" s="10"/>
      <c r="Q1" s="10"/>
      <c r="R1" s="10"/>
      <c r="S1" s="10"/>
    </row>
    <row r="2" spans="1:20" s="6" customFormat="1" ht="28.15" customHeight="1" x14ac:dyDescent="0.25">
      <c r="A2" s="11" t="s">
        <v>55</v>
      </c>
      <c r="B2" s="10"/>
      <c r="C2" s="10"/>
      <c r="D2" s="10"/>
      <c r="E2" s="10"/>
      <c r="F2" s="10"/>
      <c r="G2" s="10"/>
      <c r="H2" s="10"/>
      <c r="I2" s="10"/>
      <c r="J2" s="10"/>
      <c r="K2" s="10"/>
      <c r="L2" s="10"/>
      <c r="M2" s="10"/>
      <c r="N2" s="10"/>
      <c r="O2" s="10"/>
      <c r="P2" s="10"/>
      <c r="Q2" s="10"/>
      <c r="R2" s="10"/>
      <c r="S2" s="10"/>
    </row>
    <row r="3" spans="1:20" s="7" customFormat="1" ht="14.25" customHeight="1" x14ac:dyDescent="0.15">
      <c r="A3" s="9"/>
      <c r="B3" s="10"/>
      <c r="C3" s="10"/>
      <c r="D3" s="10"/>
      <c r="E3" s="10"/>
      <c r="F3" s="10"/>
      <c r="G3" s="10"/>
      <c r="H3" s="10"/>
      <c r="I3" s="10"/>
      <c r="J3" s="10"/>
      <c r="K3" s="10"/>
      <c r="L3" s="10"/>
      <c r="M3" s="10"/>
      <c r="N3" s="10"/>
      <c r="O3" s="10"/>
      <c r="P3" s="10"/>
      <c r="Q3" s="10"/>
      <c r="R3" s="10"/>
      <c r="S3" s="10"/>
    </row>
    <row r="4" spans="1:20" s="12" customFormat="1" ht="14.25" customHeight="1" x14ac:dyDescent="0.25">
      <c r="A4" s="16"/>
      <c r="B4" s="17"/>
      <c r="C4" s="17"/>
      <c r="D4" s="17"/>
      <c r="E4" s="17"/>
      <c r="F4" s="17"/>
      <c r="G4" s="17"/>
      <c r="H4" s="17"/>
      <c r="I4" s="17"/>
      <c r="J4" s="17"/>
      <c r="K4" s="17"/>
      <c r="L4" s="17"/>
      <c r="M4" s="17"/>
      <c r="N4" s="17"/>
      <c r="O4" s="17"/>
      <c r="P4" s="17"/>
      <c r="Q4" s="17"/>
      <c r="R4" s="17"/>
      <c r="S4" s="17"/>
    </row>
    <row r="5" spans="1:20" s="12" customFormat="1" ht="14.25" customHeight="1" x14ac:dyDescent="0.25">
      <c r="A5" s="16"/>
      <c r="B5" s="17"/>
      <c r="C5" s="17"/>
      <c r="D5" s="17"/>
      <c r="E5" s="17"/>
      <c r="F5" s="17"/>
      <c r="G5" s="17"/>
      <c r="H5" s="17"/>
      <c r="I5" s="17"/>
      <c r="J5" s="17"/>
      <c r="K5" s="17"/>
      <c r="L5" s="17"/>
      <c r="M5" s="17"/>
      <c r="N5" s="17"/>
      <c r="O5" s="17"/>
      <c r="P5" s="17"/>
      <c r="Q5" s="17"/>
      <c r="R5" s="17"/>
      <c r="S5" s="17"/>
    </row>
    <row r="6" spans="1:20" s="53" customFormat="1" ht="66" x14ac:dyDescent="0.25">
      <c r="A6" s="52" t="s">
        <v>56</v>
      </c>
      <c r="B6" s="75" t="s">
        <v>57</v>
      </c>
      <c r="C6" s="75" t="s">
        <v>58</v>
      </c>
      <c r="D6" s="75" t="s">
        <v>59</v>
      </c>
      <c r="E6" s="75" t="s">
        <v>60</v>
      </c>
      <c r="F6" s="75" t="s">
        <v>61</v>
      </c>
      <c r="G6" s="75" t="s">
        <v>62</v>
      </c>
      <c r="H6" s="75" t="s">
        <v>63</v>
      </c>
      <c r="I6" s="75" t="s">
        <v>64</v>
      </c>
      <c r="J6" s="75" t="s">
        <v>65</v>
      </c>
      <c r="K6" s="75" t="s">
        <v>66</v>
      </c>
      <c r="L6" s="75" t="s">
        <v>67</v>
      </c>
      <c r="M6" s="75" t="s">
        <v>68</v>
      </c>
      <c r="N6" s="84" t="s">
        <v>69</v>
      </c>
      <c r="O6" s="75" t="s">
        <v>70</v>
      </c>
      <c r="P6" s="75" t="s">
        <v>71</v>
      </c>
      <c r="Q6" s="75" t="s">
        <v>72</v>
      </c>
      <c r="R6" s="75" t="s">
        <v>73</v>
      </c>
      <c r="S6" s="75" t="s">
        <v>74</v>
      </c>
      <c r="T6" s="52"/>
    </row>
    <row r="7" spans="1:20" s="55" customFormat="1" ht="18.75" x14ac:dyDescent="0.25">
      <c r="A7" s="54"/>
      <c r="B7" s="76"/>
      <c r="C7" s="76" t="s">
        <v>75</v>
      </c>
      <c r="D7" s="76" t="s">
        <v>76</v>
      </c>
      <c r="E7" s="76" t="s">
        <v>38</v>
      </c>
      <c r="F7" s="35" t="s">
        <v>77</v>
      </c>
      <c r="G7" s="76" t="s">
        <v>78</v>
      </c>
      <c r="H7" s="76" t="s">
        <v>78</v>
      </c>
      <c r="I7" s="76" t="s">
        <v>78</v>
      </c>
      <c r="J7" s="35" t="s">
        <v>77</v>
      </c>
      <c r="K7" s="35" t="s">
        <v>77</v>
      </c>
      <c r="L7" s="35" t="s">
        <v>77</v>
      </c>
      <c r="M7" s="76" t="s">
        <v>79</v>
      </c>
      <c r="N7" s="76" t="s">
        <v>80</v>
      </c>
      <c r="O7" s="76" t="s">
        <v>81</v>
      </c>
      <c r="P7" s="76" t="s">
        <v>81</v>
      </c>
      <c r="Q7" s="76"/>
      <c r="R7" s="76"/>
      <c r="S7" s="76"/>
      <c r="T7" s="54"/>
    </row>
    <row r="8" spans="1:20" s="61" customFormat="1" ht="6" customHeight="1" x14ac:dyDescent="0.25">
      <c r="A8" s="22"/>
      <c r="B8" s="58"/>
      <c r="C8" s="59"/>
      <c r="D8" s="59"/>
      <c r="E8" s="59"/>
      <c r="F8" s="59"/>
      <c r="G8" s="36"/>
      <c r="H8" s="31"/>
      <c r="I8" s="31"/>
      <c r="J8" s="31"/>
      <c r="K8" s="31"/>
      <c r="L8" s="31"/>
      <c r="M8" s="59"/>
      <c r="N8" s="49"/>
      <c r="O8" s="59"/>
      <c r="P8" s="59"/>
      <c r="Q8" s="59"/>
      <c r="R8" s="60"/>
      <c r="S8" s="60"/>
    </row>
    <row r="9" spans="1:20" s="22" customFormat="1" ht="14.25" customHeight="1" x14ac:dyDescent="0.25">
      <c r="A9" s="62" t="str">
        <f>'dropdown lists'!A4</f>
        <v>E-boiler</v>
      </c>
      <c r="B9" s="63">
        <v>1</v>
      </c>
      <c r="C9" s="64">
        <v>0.9</v>
      </c>
      <c r="D9" s="33">
        <v>3300</v>
      </c>
      <c r="E9" s="41">
        <v>10</v>
      </c>
      <c r="F9" s="71">
        <v>444.72</v>
      </c>
      <c r="G9" s="74">
        <f>0.0479</f>
        <v>4.7899999999999998E-2</v>
      </c>
      <c r="H9" s="40">
        <v>3.56E-2</v>
      </c>
      <c r="I9" s="40">
        <v>2.6700000000000002E-2</v>
      </c>
      <c r="J9" s="29">
        <v>279.56</v>
      </c>
      <c r="K9" s="29">
        <v>207.98</v>
      </c>
      <c r="L9" s="29">
        <v>155.75</v>
      </c>
      <c r="M9" s="57">
        <v>5.2999999999999999E-2</v>
      </c>
      <c r="N9" s="29">
        <f>12*3.7846*1.0949721</f>
        <v>49.728376915919995</v>
      </c>
      <c r="O9" s="73">
        <v>3.5000000000000003E-2</v>
      </c>
      <c r="P9" s="56">
        <f>0.00772</f>
        <v>7.7200000000000003E-3</v>
      </c>
      <c r="Q9" s="65">
        <v>0.99</v>
      </c>
      <c r="R9" s="66"/>
      <c r="S9" s="66"/>
    </row>
    <row r="10" spans="1:20" s="22" customFormat="1" ht="14.25" customHeight="1" x14ac:dyDescent="0.25">
      <c r="A10" s="62" t="str">
        <f>'dropdown lists'!A5</f>
        <v>Warmtepomp (8.000 uur)</v>
      </c>
      <c r="B10" s="63">
        <v>2</v>
      </c>
      <c r="C10" s="64">
        <v>1</v>
      </c>
      <c r="D10" s="33">
        <v>8000</v>
      </c>
      <c r="E10" s="41">
        <v>10</v>
      </c>
      <c r="F10" s="71">
        <v>350.51</v>
      </c>
      <c r="G10" s="74">
        <f t="shared" ref="G10:G15" si="0">0.0479</f>
        <v>4.7899999999999998E-2</v>
      </c>
      <c r="H10" s="40">
        <v>3.56E-2</v>
      </c>
      <c r="I10" s="40">
        <v>2.6700000000000002E-2</v>
      </c>
      <c r="J10" s="29">
        <v>263.16000000000003</v>
      </c>
      <c r="K10" s="29">
        <v>195.78</v>
      </c>
      <c r="L10" s="29">
        <v>146.61000000000001</v>
      </c>
      <c r="M10" s="57">
        <v>0.15</v>
      </c>
      <c r="N10" s="29">
        <f t="shared" ref="N10:N15" si="1">12*3.7846*1.0949721</f>
        <v>49.728376915919995</v>
      </c>
      <c r="O10" s="73">
        <f>0.0976</f>
        <v>9.7600000000000006E-2</v>
      </c>
      <c r="P10" s="56">
        <f t="shared" ref="P10:P15" si="2">0.00772</f>
        <v>7.7200000000000003E-3</v>
      </c>
      <c r="Q10" s="66" t="s">
        <v>82</v>
      </c>
      <c r="R10" s="67">
        <v>2.2999999999999998</v>
      </c>
      <c r="S10" s="67">
        <v>10</v>
      </c>
    </row>
    <row r="11" spans="1:20" s="22" customFormat="1" ht="14.25" customHeight="1" x14ac:dyDescent="0.25">
      <c r="A11" s="62" t="str">
        <f>'dropdown lists'!A6</f>
        <v>Warmtepomp (5.500 uur)</v>
      </c>
      <c r="B11" s="63">
        <v>3</v>
      </c>
      <c r="C11" s="64">
        <v>1</v>
      </c>
      <c r="D11" s="33">
        <v>5500</v>
      </c>
      <c r="E11" s="41">
        <v>10</v>
      </c>
      <c r="F11" s="71">
        <v>346.3669950738917</v>
      </c>
      <c r="G11" s="74">
        <f t="shared" si="0"/>
        <v>4.7899999999999998E-2</v>
      </c>
      <c r="H11" s="40">
        <v>3.56E-2</v>
      </c>
      <c r="I11" s="40">
        <v>2.6700000000000002E-2</v>
      </c>
      <c r="J11" s="29">
        <v>245.79</v>
      </c>
      <c r="K11" s="29">
        <v>182.87</v>
      </c>
      <c r="L11" s="29">
        <v>136.94</v>
      </c>
      <c r="M11" s="57">
        <v>0.15</v>
      </c>
      <c r="N11" s="29">
        <f t="shared" si="1"/>
        <v>49.728376915919995</v>
      </c>
      <c r="O11" s="73">
        <f t="shared" ref="O11:O15" si="3">0.0976</f>
        <v>9.7600000000000006E-2</v>
      </c>
      <c r="P11" s="56">
        <f t="shared" si="2"/>
        <v>7.7200000000000003E-3</v>
      </c>
      <c r="Q11" s="66" t="s">
        <v>82</v>
      </c>
      <c r="R11" s="67">
        <v>2.2999999999999998</v>
      </c>
      <c r="S11" s="67">
        <v>10</v>
      </c>
    </row>
    <row r="12" spans="1:20" s="22" customFormat="1" ht="14.25" customHeight="1" x14ac:dyDescent="0.25">
      <c r="A12" s="62" t="str">
        <f>'dropdown lists'!A7</f>
        <v>Warmtepomp (3.000 uur)</v>
      </c>
      <c r="B12" s="63">
        <v>4</v>
      </c>
      <c r="C12" s="64">
        <v>1</v>
      </c>
      <c r="D12" s="33">
        <v>3000</v>
      </c>
      <c r="E12" s="41">
        <v>10</v>
      </c>
      <c r="F12" s="71">
        <v>469.06</v>
      </c>
      <c r="G12" s="74">
        <f t="shared" si="0"/>
        <v>4.7899999999999998E-2</v>
      </c>
      <c r="H12" s="40">
        <v>3.56E-2</v>
      </c>
      <c r="I12" s="40">
        <v>2.6700000000000002E-2</v>
      </c>
      <c r="J12" s="29">
        <v>233.8</v>
      </c>
      <c r="K12" s="29">
        <v>173.94</v>
      </c>
      <c r="L12" s="29">
        <v>130.26</v>
      </c>
      <c r="M12" s="57">
        <v>0.15</v>
      </c>
      <c r="N12" s="29">
        <f t="shared" si="1"/>
        <v>49.728376915919995</v>
      </c>
      <c r="O12" s="73">
        <f t="shared" si="3"/>
        <v>9.7600000000000006E-2</v>
      </c>
      <c r="P12" s="56">
        <f t="shared" si="2"/>
        <v>7.7200000000000003E-3</v>
      </c>
      <c r="Q12" s="66" t="s">
        <v>82</v>
      </c>
      <c r="R12" s="67">
        <v>2.2999999999999998</v>
      </c>
      <c r="S12" s="67">
        <v>10</v>
      </c>
    </row>
    <row r="13" spans="1:20" s="22" customFormat="1" ht="14.25" customHeight="1" x14ac:dyDescent="0.25">
      <c r="A13" s="62" t="str">
        <f>'dropdown lists'!A8</f>
        <v>MVR (8.000 uur)</v>
      </c>
      <c r="B13" s="63">
        <v>5</v>
      </c>
      <c r="C13" s="64">
        <v>1</v>
      </c>
      <c r="D13" s="33">
        <v>8000</v>
      </c>
      <c r="E13" s="41">
        <v>10</v>
      </c>
      <c r="F13" s="71">
        <v>350.50543102907017</v>
      </c>
      <c r="G13" s="74">
        <f t="shared" si="0"/>
        <v>4.7899999999999998E-2</v>
      </c>
      <c r="H13" s="40">
        <v>3.56E-2</v>
      </c>
      <c r="I13" s="40">
        <v>2.6700000000000002E-2</v>
      </c>
      <c r="J13" s="29">
        <v>263.16000000000003</v>
      </c>
      <c r="K13" s="29">
        <v>195.78</v>
      </c>
      <c r="L13" s="29">
        <v>146.61000000000001</v>
      </c>
      <c r="M13" s="57">
        <v>0.15</v>
      </c>
      <c r="N13" s="29">
        <f t="shared" si="1"/>
        <v>49.728376915919995</v>
      </c>
      <c r="O13" s="73">
        <f t="shared" si="3"/>
        <v>9.7600000000000006E-2</v>
      </c>
      <c r="P13" s="56">
        <f>0.00772</f>
        <v>7.7200000000000003E-3</v>
      </c>
      <c r="Q13" s="66" t="s">
        <v>82</v>
      </c>
      <c r="R13" s="67">
        <v>2.2999999999999998</v>
      </c>
      <c r="S13" s="67">
        <v>12</v>
      </c>
    </row>
    <row r="14" spans="1:20" s="22" customFormat="1" ht="14.25" customHeight="1" x14ac:dyDescent="0.25">
      <c r="A14" s="62" t="str">
        <f>'dropdown lists'!A9</f>
        <v>MVR (5.500 uur)</v>
      </c>
      <c r="B14" s="63">
        <v>6</v>
      </c>
      <c r="C14" s="64">
        <v>1</v>
      </c>
      <c r="D14" s="33">
        <v>5500</v>
      </c>
      <c r="E14" s="41">
        <v>10</v>
      </c>
      <c r="F14" s="71">
        <v>346.3669950738917</v>
      </c>
      <c r="G14" s="74">
        <f t="shared" si="0"/>
        <v>4.7899999999999998E-2</v>
      </c>
      <c r="H14" s="40">
        <v>3.56E-2</v>
      </c>
      <c r="I14" s="40">
        <v>2.6700000000000002E-2</v>
      </c>
      <c r="J14" s="29">
        <v>245.79</v>
      </c>
      <c r="K14" s="29">
        <v>182.87</v>
      </c>
      <c r="L14" s="29">
        <v>136.94</v>
      </c>
      <c r="M14" s="57">
        <v>0.15</v>
      </c>
      <c r="N14" s="29">
        <f t="shared" si="1"/>
        <v>49.728376915919995</v>
      </c>
      <c r="O14" s="73">
        <f t="shared" si="3"/>
        <v>9.7600000000000006E-2</v>
      </c>
      <c r="P14" s="56">
        <f t="shared" si="2"/>
        <v>7.7200000000000003E-3</v>
      </c>
      <c r="Q14" s="66" t="s">
        <v>82</v>
      </c>
      <c r="R14" s="67">
        <v>2.2999999999999998</v>
      </c>
      <c r="S14" s="67">
        <v>12</v>
      </c>
    </row>
    <row r="15" spans="1:20" s="22" customFormat="1" ht="14.25" customHeight="1" x14ac:dyDescent="0.25">
      <c r="A15" s="62" t="str">
        <f>'dropdown lists'!A10</f>
        <v>MVR (3.000 uur)</v>
      </c>
      <c r="B15" s="63">
        <v>7</v>
      </c>
      <c r="C15" s="64">
        <v>1</v>
      </c>
      <c r="D15" s="33">
        <v>3000</v>
      </c>
      <c r="E15" s="41">
        <v>10</v>
      </c>
      <c r="F15" s="71">
        <v>469.54314720812187</v>
      </c>
      <c r="G15" s="74">
        <f t="shared" si="0"/>
        <v>4.7899999999999998E-2</v>
      </c>
      <c r="H15" s="40">
        <v>3.56E-2</v>
      </c>
      <c r="I15" s="40">
        <v>2.6700000000000002E-2</v>
      </c>
      <c r="J15" s="29">
        <v>233.8</v>
      </c>
      <c r="K15" s="29">
        <v>173.94</v>
      </c>
      <c r="L15" s="29">
        <v>130.26</v>
      </c>
      <c r="M15" s="57">
        <v>0.15</v>
      </c>
      <c r="N15" s="29">
        <f t="shared" si="1"/>
        <v>49.728376915919995</v>
      </c>
      <c r="O15" s="73">
        <f t="shared" si="3"/>
        <v>9.7600000000000006E-2</v>
      </c>
      <c r="P15" s="56">
        <f t="shared" si="2"/>
        <v>7.7200000000000003E-3</v>
      </c>
      <c r="Q15" s="66" t="s">
        <v>82</v>
      </c>
      <c r="R15" s="67">
        <v>2.2999999999999998</v>
      </c>
      <c r="S15" s="67">
        <v>12</v>
      </c>
    </row>
    <row r="16" spans="1:20" s="12" customFormat="1" ht="14.25" customHeight="1" thickBot="1" x14ac:dyDescent="0.3">
      <c r="A16" s="68"/>
      <c r="B16" s="69"/>
      <c r="C16" s="69"/>
      <c r="D16" s="69"/>
      <c r="E16" s="69"/>
      <c r="F16" s="69"/>
      <c r="G16" s="69"/>
      <c r="H16" s="69"/>
      <c r="I16" s="69"/>
      <c r="J16" s="69"/>
      <c r="K16" s="69"/>
      <c r="L16" s="69"/>
      <c r="M16" s="69"/>
      <c r="N16" s="69"/>
      <c r="O16" s="69"/>
      <c r="P16" s="69"/>
      <c r="Q16" s="69" t="s">
        <v>82</v>
      </c>
      <c r="R16" s="69"/>
      <c r="S16" s="69"/>
    </row>
    <row r="17" spans="1:21" s="12" customFormat="1" ht="14.25" customHeight="1" x14ac:dyDescent="0.25">
      <c r="B17" s="35"/>
      <c r="C17" s="32"/>
      <c r="D17" s="32"/>
      <c r="E17" s="32"/>
      <c r="F17" s="32"/>
      <c r="G17" s="32"/>
      <c r="H17" s="32"/>
      <c r="I17" s="32"/>
      <c r="J17" s="32"/>
      <c r="K17" s="32"/>
      <c r="L17" s="32"/>
      <c r="M17" s="32"/>
      <c r="N17" s="32"/>
      <c r="O17" s="32"/>
      <c r="P17" s="32"/>
      <c r="Q17" s="32"/>
      <c r="R17" s="32"/>
      <c r="S17" s="32"/>
    </row>
    <row r="18" spans="1:21" s="12" customFormat="1" ht="14.25" customHeight="1" x14ac:dyDescent="0.25">
      <c r="A18" s="292" t="s">
        <v>83</v>
      </c>
      <c r="B18" s="293"/>
      <c r="C18" s="293"/>
      <c r="D18" s="293"/>
      <c r="E18" s="293"/>
      <c r="F18" s="293"/>
      <c r="G18" s="293"/>
      <c r="H18" s="293"/>
      <c r="I18" s="293"/>
      <c r="J18" s="293"/>
      <c r="K18" s="293"/>
      <c r="L18" s="293"/>
      <c r="M18" s="293"/>
      <c r="N18" s="293"/>
      <c r="O18" s="293"/>
      <c r="P18" s="293"/>
      <c r="Q18" s="293"/>
      <c r="R18" s="293"/>
      <c r="S18" s="293"/>
    </row>
    <row r="19" spans="1:21" s="12" customFormat="1" ht="5.0999999999999996" customHeight="1" x14ac:dyDescent="0.25">
      <c r="A19" s="48"/>
      <c r="B19" s="49"/>
      <c r="C19" s="49"/>
      <c r="D19" s="49"/>
      <c r="E19" s="49"/>
      <c r="F19" s="49"/>
      <c r="G19" s="49"/>
      <c r="H19" s="49"/>
      <c r="I19" s="49"/>
      <c r="J19" s="49"/>
      <c r="K19" s="49"/>
      <c r="L19" s="49"/>
      <c r="M19" s="49"/>
      <c r="N19" s="49"/>
      <c r="O19" s="49"/>
      <c r="P19" s="49"/>
      <c r="Q19" s="49"/>
      <c r="R19" s="49"/>
      <c r="S19" s="49"/>
      <c r="T19" s="49"/>
    </row>
    <row r="20" spans="1:21" s="50" customFormat="1" ht="14.25" customHeight="1" x14ac:dyDescent="0.25">
      <c r="A20" s="50" t="s">
        <v>84</v>
      </c>
      <c r="B20" s="51"/>
      <c r="C20" s="51"/>
      <c r="D20" s="51"/>
      <c r="E20" s="51"/>
      <c r="F20" s="51"/>
      <c r="G20" s="51"/>
      <c r="H20" s="51"/>
      <c r="I20" s="51"/>
      <c r="J20" s="51"/>
      <c r="K20" s="51"/>
      <c r="L20" s="51"/>
      <c r="M20" s="51"/>
      <c r="N20" s="51"/>
      <c r="O20" s="51"/>
      <c r="P20" s="51"/>
      <c r="Q20" s="51"/>
      <c r="R20" s="51"/>
      <c r="S20" s="51"/>
      <c r="T20" s="51"/>
      <c r="U20" s="51"/>
    </row>
    <row r="21" spans="1:21" ht="14.25" customHeight="1" x14ac:dyDescent="0.15">
      <c r="B21" s="3"/>
    </row>
    <row r="22" spans="1:21" ht="14.25" customHeight="1" x14ac:dyDescent="0.15">
      <c r="B22" s="3"/>
    </row>
    <row r="23" spans="1:21" ht="14.25" customHeight="1" x14ac:dyDescent="0.15">
      <c r="A23" s="77" t="s">
        <v>85</v>
      </c>
      <c r="B23" s="3"/>
    </row>
    <row r="24" spans="1:21" ht="14.25" customHeight="1" x14ac:dyDescent="0.15">
      <c r="B24" s="3"/>
    </row>
    <row r="25" spans="1:21" s="5" customFormat="1" ht="14.25" customHeight="1" x14ac:dyDescent="0.25">
      <c r="A25" s="70" t="s">
        <v>86</v>
      </c>
      <c r="B25" s="78" t="s">
        <v>19</v>
      </c>
      <c r="C25" s="79" t="s">
        <v>87</v>
      </c>
      <c r="D25" s="79" t="s">
        <v>88</v>
      </c>
      <c r="E25" s="79" t="s">
        <v>89</v>
      </c>
      <c r="F25" s="79" t="s">
        <v>90</v>
      </c>
      <c r="G25" s="79" t="s">
        <v>91</v>
      </c>
      <c r="H25" s="79" t="s">
        <v>92</v>
      </c>
      <c r="I25" s="79" t="s">
        <v>93</v>
      </c>
      <c r="J25" s="79" t="s">
        <v>94</v>
      </c>
      <c r="K25" s="79" t="s">
        <v>95</v>
      </c>
      <c r="L25" s="79" t="s">
        <v>96</v>
      </c>
      <c r="M25" s="3"/>
      <c r="N25" s="3"/>
      <c r="O25" s="3"/>
      <c r="P25" s="3"/>
      <c r="Q25" s="3"/>
      <c r="R25" s="3"/>
      <c r="S25" s="3"/>
      <c r="T25" s="3"/>
    </row>
    <row r="26" spans="1:21" s="3" customFormat="1" ht="14.25" customHeight="1" x14ac:dyDescent="0.25">
      <c r="A26" s="17" t="s">
        <v>97</v>
      </c>
      <c r="B26" s="35" t="s">
        <v>98</v>
      </c>
      <c r="C26" s="56">
        <f t="shared" ref="C26:E26" si="4">29.9141828275971/1000</f>
        <v>2.9914182827597099E-2</v>
      </c>
      <c r="D26" s="56">
        <f t="shared" si="4"/>
        <v>2.9914182827597099E-2</v>
      </c>
      <c r="E26" s="56">
        <f t="shared" si="4"/>
        <v>2.9914182827597099E-2</v>
      </c>
      <c r="F26" s="56">
        <f>29.9141828275971/1000</f>
        <v>2.9914182827597099E-2</v>
      </c>
      <c r="G26" s="56">
        <f>30.2673864320675/1000</f>
        <v>3.02673864320675E-2</v>
      </c>
      <c r="H26" s="56">
        <f>30.4977616810241/1000</f>
        <v>3.0497761681024103E-2</v>
      </c>
      <c r="I26" s="56">
        <f>30.852735628459/1000</f>
        <v>3.0852735628459003E-2</v>
      </c>
      <c r="J26" s="56">
        <f>31.0796689731642/1000</f>
        <v>3.10796689731642E-2</v>
      </c>
      <c r="K26" s="56">
        <f>31.7012623526274/1000</f>
        <v>3.17012623526274E-2</v>
      </c>
      <c r="L26" s="56">
        <f>32.33528759968/1000</f>
        <v>3.2335287599680004E-2</v>
      </c>
    </row>
    <row r="27" spans="1:21" s="3" customFormat="1" ht="14.25" customHeight="1" x14ac:dyDescent="0.25">
      <c r="A27" s="17" t="s">
        <v>99</v>
      </c>
      <c r="B27" s="35" t="s">
        <v>98</v>
      </c>
      <c r="C27" s="56">
        <f>0.9729*(1+'Algemene parameters'!$B$26)^3/1000</f>
        <v>1.0324492631999999E-3</v>
      </c>
      <c r="D27" s="56">
        <f>C27*(1+'Algemene parameters'!$B$26)</f>
        <v>1.053098248464E-3</v>
      </c>
      <c r="E27" s="56">
        <f>D27*(1+'Algemene parameters'!$B$26)</f>
        <v>1.0741602134332799E-3</v>
      </c>
      <c r="F27" s="56">
        <f>E27*(1+'Algemene parameters'!$B$26)</f>
        <v>1.0956434177019456E-3</v>
      </c>
      <c r="G27" s="56">
        <f>F27*(1+'Algemene parameters'!$B$26)</f>
        <v>1.1175562860559845E-3</v>
      </c>
      <c r="H27" s="56">
        <f>G27*(1+'Algemene parameters'!$B$26)</f>
        <v>1.1399074117771043E-3</v>
      </c>
      <c r="I27" s="56">
        <f>H27*(1+'Algemene parameters'!$B$26)</f>
        <v>1.1627055600126465E-3</v>
      </c>
      <c r="J27" s="56">
        <f>I27*(1+'Algemene parameters'!$B$26)</f>
        <v>1.1859596712128994E-3</v>
      </c>
      <c r="K27" s="56">
        <f>J27*(1+'Algemene parameters'!$B$26)</f>
        <v>1.2096788646371573E-3</v>
      </c>
      <c r="L27" s="56">
        <f>K27*(1+'Algemene parameters'!$B$26)</f>
        <v>1.2338724419299005E-3</v>
      </c>
    </row>
    <row r="28" spans="1:21" s="3" customFormat="1" ht="14.25" customHeight="1" x14ac:dyDescent="0.25">
      <c r="A28" s="17" t="s">
        <v>100</v>
      </c>
      <c r="B28" s="35" t="s">
        <v>77</v>
      </c>
      <c r="C28" s="29">
        <v>87.5</v>
      </c>
      <c r="D28" s="29">
        <v>93.5</v>
      </c>
      <c r="E28" s="29">
        <v>99.5</v>
      </c>
      <c r="F28" s="29">
        <v>105.5</v>
      </c>
      <c r="G28" s="29">
        <v>111.5</v>
      </c>
      <c r="H28" s="29">
        <v>117.5</v>
      </c>
      <c r="I28" s="29">
        <v>123.5</v>
      </c>
      <c r="J28" s="29">
        <v>129.5</v>
      </c>
      <c r="K28" s="29">
        <v>135.5</v>
      </c>
      <c r="L28" s="29">
        <v>141.5</v>
      </c>
    </row>
    <row r="29" spans="1:21" s="3" customFormat="1" ht="14.25" customHeight="1" x14ac:dyDescent="0.25">
      <c r="A29" s="17" t="s">
        <v>101</v>
      </c>
      <c r="B29" s="35" t="s">
        <v>77</v>
      </c>
      <c r="C29" s="29">
        <v>32.618529359275406</v>
      </c>
      <c r="D29" s="29">
        <v>44.361199928614553</v>
      </c>
      <c r="E29" s="29">
        <v>50.904476918085194</v>
      </c>
      <c r="F29" s="29">
        <v>63.460914557879548</v>
      </c>
      <c r="G29" s="29">
        <v>64.730132849037133</v>
      </c>
      <c r="H29" s="29">
        <v>66.024735506017876</v>
      </c>
      <c r="I29" s="29">
        <v>67.345230216138233</v>
      </c>
      <c r="J29" s="29">
        <v>68.692134820461007</v>
      </c>
      <c r="K29" s="29">
        <v>70.065977516870205</v>
      </c>
      <c r="L29" s="29">
        <v>71.467297067207625</v>
      </c>
    </row>
    <row r="30" spans="1:21" s="3" customFormat="1" ht="14.25" customHeight="1" x14ac:dyDescent="0.25">
      <c r="A30" s="62" t="s">
        <v>102</v>
      </c>
      <c r="B30" s="35" t="s">
        <v>103</v>
      </c>
      <c r="C30" s="56">
        <v>8.076829363451217E-2</v>
      </c>
      <c r="D30" s="56">
        <v>8.076829363451217E-2</v>
      </c>
      <c r="E30" s="56">
        <v>8.076829363451217E-2</v>
      </c>
      <c r="F30" s="56">
        <v>8.076829363451217E-2</v>
      </c>
      <c r="G30" s="56">
        <f>97.7869407805257/1000</f>
        <v>9.7786940780525702E-2</v>
      </c>
      <c r="H30" s="56">
        <f>96.9928814117816/1000</f>
        <v>9.6992881411781598E-2</v>
      </c>
      <c r="I30" s="56">
        <f>96.1279448919755/1000</f>
        <v>9.61279448919755E-2</v>
      </c>
      <c r="J30" s="56">
        <f>95.1896137588124/1000</f>
        <v>9.5189613758812394E-2</v>
      </c>
      <c r="K30" s="56">
        <f>94.1752982023661/1000</f>
        <v>9.4175298202366087E-2</v>
      </c>
      <c r="L30" s="56">
        <f>96.0588041664134/1000</f>
        <v>9.6058804166413395E-2</v>
      </c>
    </row>
    <row r="31" spans="1:21" s="3" customFormat="1" ht="14.25" customHeight="1" x14ac:dyDescent="0.25">
      <c r="A31" s="62" t="s">
        <v>104</v>
      </c>
      <c r="B31" s="35" t="s">
        <v>103</v>
      </c>
      <c r="C31" s="56">
        <f>46.2272990230474/1000</f>
        <v>4.6227299023047404E-2</v>
      </c>
      <c r="D31" s="56">
        <f>43.6261572393357/1000</f>
        <v>4.3626157239335696E-2</v>
      </c>
      <c r="E31" s="56">
        <f>40.9024788646663/1000</f>
        <v>4.0902478864666303E-2</v>
      </c>
      <c r="F31" s="56">
        <f>38.0524028921145/1000</f>
        <v>3.8052402892114499E-2</v>
      </c>
      <c r="G31" s="56">
        <f>35.0719628891147/1000</f>
        <v>3.5071962889114704E-2</v>
      </c>
      <c r="H31" s="56">
        <f>35.773402146897/1000</f>
        <v>3.5773402146896997E-2</v>
      </c>
      <c r="I31" s="56">
        <f>32.5962260113348/1000</f>
        <v>3.25962260113348E-2</v>
      </c>
      <c r="J31" s="56">
        <f>29.2776534694914/1000</f>
        <v>2.9277653469491401E-2</v>
      </c>
      <c r="K31" s="56">
        <f>25.8132995355697/1000</f>
        <v>2.5813299535569701E-2</v>
      </c>
      <c r="L31" s="56">
        <f>22.1986603829033/1000</f>
        <v>2.2198660382903298E-2</v>
      </c>
    </row>
    <row r="32" spans="1:21" s="3" customFormat="1" ht="14.25" customHeight="1" x14ac:dyDescent="0.25">
      <c r="A32" s="17" t="str">
        <f>"Netkosten " &amp; 'dropdown lists'!B3</f>
        <v>Netkosten Fluvius</v>
      </c>
      <c r="B32" s="35" t="s">
        <v>105</v>
      </c>
      <c r="C32" s="29">
        <f>12*5.3181*(1+'Algemene parameters'!$B$26)^3</f>
        <v>67.723323177599994</v>
      </c>
      <c r="D32" s="29">
        <f>C32*(1+'Algemene parameters'!$B$26)</f>
        <v>69.077789641151995</v>
      </c>
      <c r="E32" s="29">
        <f>D32*(1+'Algemene parameters'!$B$26)</f>
        <v>70.459345433975031</v>
      </c>
      <c r="F32" s="29">
        <f>E32*(1+'Algemene parameters'!$B$26)</f>
        <v>71.868532342654532</v>
      </c>
      <c r="G32" s="29">
        <f>F32*(1+'Algemene parameters'!$B$26)</f>
        <v>73.305902989507629</v>
      </c>
      <c r="H32" s="29">
        <f>G32*(1+'Algemene parameters'!$B$26)</f>
        <v>74.772021049297777</v>
      </c>
      <c r="I32" s="29">
        <f>H32*(1+'Algemene parameters'!$B$26)</f>
        <v>76.267461470283735</v>
      </c>
      <c r="J32" s="29">
        <f>I32*(1+'Algemene parameters'!$B$26)</f>
        <v>77.792810699689412</v>
      </c>
      <c r="K32" s="29">
        <f>J32*(1+'Algemene parameters'!$B$26)</f>
        <v>79.348666913683203</v>
      </c>
      <c r="L32" s="29">
        <f>K32*(1+'Algemene parameters'!$B$26)</f>
        <v>80.935640251956869</v>
      </c>
    </row>
    <row r="33" spans="1:12" s="3" customFormat="1" ht="14.25" customHeight="1" x14ac:dyDescent="0.25">
      <c r="A33" s="17" t="str">
        <f>"Netkosten " &amp; 'dropdown lists'!B4</f>
        <v>Netkosten &lt;110 kV Elia</v>
      </c>
      <c r="B33" s="35" t="s">
        <v>105</v>
      </c>
      <c r="C33" s="29">
        <f>12*3.7846</f>
        <v>45.415199999999999</v>
      </c>
      <c r="D33" s="29">
        <f>C33*(1+'Algemene parameters'!$B$26)</f>
        <v>46.323504</v>
      </c>
      <c r="E33" s="29">
        <f>D33*(1+'Algemene parameters'!$B$26)</f>
        <v>47.249974080000001</v>
      </c>
      <c r="F33" s="29">
        <f>E33*(1+'Algemene parameters'!$B$26)</f>
        <v>48.194973561600001</v>
      </c>
      <c r="G33" s="29">
        <f>F33*(1+'Algemene parameters'!$B$26)</f>
        <v>49.158873032832005</v>
      </c>
      <c r="H33" s="29">
        <f>G33*(1+'Algemene parameters'!$B$26)</f>
        <v>50.142050493488647</v>
      </c>
      <c r="I33" s="29">
        <f>H33*(1+'Algemene parameters'!$B$26)</f>
        <v>51.144891503358423</v>
      </c>
      <c r="J33" s="29">
        <f>I33*(1+'Algemene parameters'!$B$26)</f>
        <v>52.167789333425596</v>
      </c>
      <c r="K33" s="29">
        <f>J33*(1+'Algemene parameters'!$B$26)</f>
        <v>53.211145120094109</v>
      </c>
      <c r="L33" s="29">
        <f>K33*(1+'Algemene parameters'!$B$26)</f>
        <v>54.275368022495989</v>
      </c>
    </row>
    <row r="34" spans="1:12" s="3" customFormat="1" ht="14.25" customHeight="1" x14ac:dyDescent="0.25">
      <c r="A34" s="17" t="str">
        <f>"Netkosten " &amp; 'dropdown lists'!B5</f>
        <v>Netkosten &gt;=110 kV Elia</v>
      </c>
      <c r="B34" s="35" t="s">
        <v>105</v>
      </c>
      <c r="C34" s="29">
        <f>12*2.4468</f>
        <v>29.361600000000003</v>
      </c>
      <c r="D34" s="29">
        <f>C34*(1+'Algemene parameters'!$B$26)</f>
        <v>29.948832000000003</v>
      </c>
      <c r="E34" s="29">
        <f>D34*(1+'Algemene parameters'!$B$26)</f>
        <v>30.547808640000003</v>
      </c>
      <c r="F34" s="29">
        <f>E34*(1+'Algemene parameters'!$B$26)</f>
        <v>31.158764812800005</v>
      </c>
      <c r="G34" s="29">
        <f>F34*(1+'Algemene parameters'!$B$26)</f>
        <v>31.781940109056006</v>
      </c>
      <c r="H34" s="29">
        <f>G34*(1+'Algemene parameters'!$B$26)</f>
        <v>32.417578911237129</v>
      </c>
      <c r="I34" s="29">
        <f>H34*(1+'Algemene parameters'!$B$26)</f>
        <v>33.06593048946187</v>
      </c>
      <c r="J34" s="29">
        <f>I34*(1+'Algemene parameters'!$B$26)</f>
        <v>33.727249099251111</v>
      </c>
      <c r="K34" s="29">
        <f>J34*(1+'Algemene parameters'!$B$26)</f>
        <v>34.401794081236133</v>
      </c>
      <c r="L34" s="29">
        <f>K34*(1+'Algemene parameters'!$B$26)</f>
        <v>35.089829962860854</v>
      </c>
    </row>
    <row r="35" spans="1:12" s="3" customFormat="1" ht="14.25" customHeight="1" x14ac:dyDescent="0.25">
      <c r="A35" s="54" t="s">
        <v>71</v>
      </c>
      <c r="B35" s="76" t="s">
        <v>81</v>
      </c>
      <c r="C35" s="56">
        <f>0.00772</f>
        <v>7.7200000000000003E-3</v>
      </c>
      <c r="D35" s="56">
        <f>C35*(1+'Algemene parameters'!$B$26)</f>
        <v>7.8744000000000001E-3</v>
      </c>
      <c r="E35" s="56">
        <f>D35*(1+'Algemene parameters'!$B$26)</f>
        <v>8.0318880000000009E-3</v>
      </c>
      <c r="F35" s="56">
        <f>E35*(1+'Algemene parameters'!$B$26)</f>
        <v>8.1925257600000013E-3</v>
      </c>
      <c r="G35" s="56">
        <f>F35*(1+'Algemene parameters'!$B$26)</f>
        <v>8.3563762752000021E-3</v>
      </c>
      <c r="H35" s="56">
        <f>G35*(1+'Algemene parameters'!$B$26)</f>
        <v>8.5235038007040031E-3</v>
      </c>
      <c r="I35" s="56">
        <f>H35*(1+'Algemene parameters'!$B$26)</f>
        <v>8.6939738767180825E-3</v>
      </c>
      <c r="J35" s="56">
        <f>I35*(1+'Algemene parameters'!$B$26)</f>
        <v>8.8678533542524435E-3</v>
      </c>
      <c r="K35" s="56">
        <f>J35*(1+'Algemene parameters'!$B$26)</f>
        <v>9.0452104213374924E-3</v>
      </c>
      <c r="L35" s="56">
        <f>K35*(1+'Algemene parameters'!$B$26)</f>
        <v>9.226114629764243E-3</v>
      </c>
    </row>
    <row r="36" spans="1:12" ht="14.25" customHeight="1" x14ac:dyDescent="0.15">
      <c r="A36" s="54" t="s">
        <v>106</v>
      </c>
      <c r="B36" s="76"/>
      <c r="C36" s="80">
        <v>4.4499999999999998E-2</v>
      </c>
      <c r="D36" s="81">
        <v>4.4499999999999998E-2</v>
      </c>
      <c r="E36" s="81">
        <v>4.4499999999999998E-2</v>
      </c>
      <c r="F36" s="81">
        <v>4.4499999999999998E-2</v>
      </c>
      <c r="G36" s="81">
        <v>4.4499999999999998E-2</v>
      </c>
      <c r="H36" s="81">
        <v>4.4499999999999998E-2</v>
      </c>
      <c r="I36" s="81">
        <v>4.4499999999999998E-2</v>
      </c>
      <c r="J36" s="81">
        <v>4.4499999999999998E-2</v>
      </c>
      <c r="K36" s="81">
        <v>4.4499999999999998E-2</v>
      </c>
      <c r="L36" s="81">
        <v>4.4499999999999998E-2</v>
      </c>
    </row>
    <row r="37" spans="1:12" ht="14.25" customHeight="1" thickBot="1" x14ac:dyDescent="0.3">
      <c r="A37" s="68"/>
      <c r="B37" s="68"/>
      <c r="C37" s="68"/>
      <c r="D37" s="68"/>
      <c r="E37" s="68"/>
      <c r="F37" s="68"/>
      <c r="G37" s="68"/>
      <c r="H37" s="68"/>
      <c r="I37" s="68"/>
      <c r="J37" s="68"/>
      <c r="K37" s="68"/>
      <c r="L37" s="68"/>
    </row>
    <row r="38" spans="1:12" ht="14.25" customHeight="1" x14ac:dyDescent="0.25">
      <c r="A38" s="12"/>
      <c r="B38" s="12"/>
      <c r="C38" s="12"/>
      <c r="D38" s="12"/>
      <c r="E38" s="12"/>
      <c r="F38" s="12"/>
      <c r="G38" s="12"/>
      <c r="H38" s="12"/>
      <c r="I38" s="12"/>
      <c r="J38" s="12"/>
      <c r="K38" s="12"/>
      <c r="L38" s="12"/>
    </row>
    <row r="39" spans="1:12" ht="14.25" customHeight="1" x14ac:dyDescent="0.15">
      <c r="B39" s="3"/>
    </row>
    <row r="40" spans="1:12" ht="14.25" customHeight="1" x14ac:dyDescent="0.15">
      <c r="B40" s="3"/>
    </row>
    <row r="41" spans="1:12" ht="14.25" customHeight="1" x14ac:dyDescent="0.15">
      <c r="B41" s="3"/>
    </row>
    <row r="42" spans="1:12" ht="14.25" customHeight="1" x14ac:dyDescent="0.15">
      <c r="B42" s="3"/>
    </row>
    <row r="43" spans="1:12" ht="14.25" customHeight="1" x14ac:dyDescent="0.15">
      <c r="B43" s="3"/>
    </row>
    <row r="44" spans="1:12" ht="14.25" customHeight="1" x14ac:dyDescent="0.15">
      <c r="B44" s="3"/>
    </row>
    <row r="45" spans="1:12" ht="14.25" customHeight="1" x14ac:dyDescent="0.15">
      <c r="B45" s="3"/>
    </row>
    <row r="46" spans="1:12" ht="14.25" customHeight="1" x14ac:dyDescent="0.15">
      <c r="B46" s="3"/>
    </row>
    <row r="47" spans="1:12" ht="14.25" customHeight="1" x14ac:dyDescent="0.15">
      <c r="B47" s="3"/>
    </row>
    <row r="48" spans="1:12" ht="14.25" customHeight="1" x14ac:dyDescent="0.15">
      <c r="B48" s="3"/>
    </row>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sheetData>
  <sheetProtection algorithmName="SHA-512" hashValue="gx70CKYFJZqhodJVotgR+ZCaH4WWN7n1j5arKDOOUcS83RlNcUgZ4irKyY6RBVcDSEQyJzbDPoIJLKYcgiT4fw==" saltValue="IA3TxkQFnr436QTGLlOwUg==" spinCount="100000" sheet="1" objects="1" scenarios="1"/>
  <mergeCells count="1">
    <mergeCell ref="A18:S18"/>
  </mergeCells>
  <phoneticPr fontId="4" type="noConversion"/>
  <pageMargins left="0.7" right="0.7" top="0.75" bottom="0.75" header="0.3" footer="0.3"/>
  <pageSetup paperSize="9" orientation="portrait" r:id="rId1"/>
  <ignoredErrors>
    <ignoredError sqref="D27:L27 R10:S15 G7:G15 D29:L29 F26:L26 D26:E26 D31:L36 G30:L30 D30:F30 D28:L28" calculatedColumn="1"/>
  </ignoredErrors>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7C314-A4DD-4A3D-8F95-6A0F842A30D6}">
  <sheetPr>
    <tabColor rgb="FF009B48"/>
  </sheetPr>
  <dimension ref="A1:U274"/>
  <sheetViews>
    <sheetView showGridLines="0" topLeftCell="B7" zoomScaleNormal="100" workbookViewId="0">
      <selection activeCell="H49" sqref="H49"/>
    </sheetView>
  </sheetViews>
  <sheetFormatPr defaultColWidth="8.85546875" defaultRowHeight="11.25" x14ac:dyDescent="0.15"/>
  <cols>
    <col min="1" max="1" width="50.85546875" style="254" customWidth="1"/>
    <col min="2" max="2" width="19.7109375" style="259" bestFit="1" customWidth="1"/>
    <col min="3" max="7" width="13.7109375" style="254" customWidth="1"/>
    <col min="8" max="17" width="14.28515625" style="254" customWidth="1"/>
    <col min="18" max="18" width="17.28515625" style="254" hidden="1" customWidth="1"/>
    <col min="19" max="20" width="11.5703125" style="254" customWidth="1"/>
    <col min="21" max="21" width="10.5703125" style="254" customWidth="1"/>
    <col min="22" max="26" width="8.85546875" style="254" bestFit="1"/>
    <col min="27" max="16384" width="8.85546875" style="254"/>
  </cols>
  <sheetData>
    <row r="1" spans="1:18" s="255" customFormat="1" ht="14.25" customHeight="1" x14ac:dyDescent="0.15">
      <c r="A1" s="260"/>
      <c r="B1" s="261"/>
      <c r="C1" s="261"/>
      <c r="D1" s="261"/>
      <c r="E1" s="261"/>
      <c r="F1" s="261"/>
      <c r="G1" s="261"/>
      <c r="H1" s="261"/>
      <c r="I1" s="261"/>
      <c r="J1" s="261"/>
      <c r="K1" s="261"/>
      <c r="L1" s="261"/>
      <c r="M1" s="261"/>
      <c r="N1" s="261"/>
      <c r="O1" s="261"/>
      <c r="P1" s="261"/>
      <c r="Q1" s="261"/>
    </row>
    <row r="2" spans="1:18" s="256" customFormat="1" ht="28.15" customHeight="1" x14ac:dyDescent="0.25">
      <c r="A2" s="262" t="s">
        <v>107</v>
      </c>
      <c r="B2" s="261"/>
      <c r="C2" s="261"/>
      <c r="D2" s="261"/>
      <c r="E2" s="261"/>
      <c r="F2" s="261"/>
      <c r="G2" s="261"/>
      <c r="H2" s="261"/>
      <c r="I2" s="261"/>
      <c r="J2" s="261"/>
      <c r="K2" s="261"/>
      <c r="L2" s="261"/>
      <c r="M2" s="261"/>
      <c r="N2" s="261"/>
      <c r="O2" s="261"/>
      <c r="P2" s="261"/>
      <c r="Q2" s="261"/>
    </row>
    <row r="3" spans="1:18" s="255" customFormat="1" ht="14.25" customHeight="1" x14ac:dyDescent="0.15">
      <c r="A3" s="261"/>
      <c r="B3" s="261"/>
      <c r="C3" s="261"/>
      <c r="D3" s="261"/>
      <c r="E3" s="261"/>
      <c r="F3" s="261"/>
      <c r="G3" s="261"/>
      <c r="H3" s="261"/>
      <c r="I3" s="261"/>
      <c r="J3" s="261"/>
      <c r="K3" s="261"/>
      <c r="L3" s="261"/>
      <c r="M3" s="261"/>
      <c r="N3" s="261"/>
      <c r="O3" s="261"/>
      <c r="P3" s="261"/>
      <c r="Q3" s="261"/>
    </row>
    <row r="4" spans="1:18" s="112" customFormat="1" ht="14.25" customHeight="1" x14ac:dyDescent="0.25">
      <c r="A4" s="22"/>
      <c r="B4" s="22"/>
      <c r="C4" s="22"/>
      <c r="D4" s="22"/>
      <c r="E4" s="22"/>
      <c r="F4" s="22"/>
      <c r="G4" s="22"/>
      <c r="H4" s="22"/>
      <c r="I4" s="22"/>
      <c r="J4" s="22"/>
      <c r="K4" s="22"/>
      <c r="L4" s="22"/>
      <c r="M4" s="22"/>
      <c r="N4" s="22"/>
      <c r="O4" s="22"/>
      <c r="P4" s="22"/>
      <c r="Q4" s="22"/>
    </row>
    <row r="5" spans="1:18" s="112" customFormat="1" ht="14.25" customHeight="1" x14ac:dyDescent="0.25">
      <c r="A5" s="22"/>
      <c r="B5" s="35"/>
      <c r="C5" s="22"/>
      <c r="D5" s="22"/>
      <c r="E5" s="22"/>
      <c r="F5" s="22"/>
      <c r="G5" s="22"/>
      <c r="H5" s="22"/>
      <c r="I5" s="22"/>
      <c r="J5" s="22"/>
      <c r="K5" s="22"/>
      <c r="L5" s="22"/>
      <c r="M5" s="22"/>
      <c r="N5" s="22"/>
      <c r="O5" s="22"/>
      <c r="P5" s="22"/>
      <c r="Q5" s="22"/>
    </row>
    <row r="6" spans="1:18" s="22" customFormat="1" ht="14.25" customHeight="1" x14ac:dyDescent="0.25">
      <c r="A6" s="70" t="s">
        <v>56</v>
      </c>
      <c r="B6" s="295"/>
      <c r="C6" s="295"/>
      <c r="M6" s="113"/>
      <c r="N6" s="22" t="s">
        <v>108</v>
      </c>
      <c r="Q6" s="114"/>
      <c r="R6" s="115"/>
    </row>
    <row r="7" spans="1:18" s="22" customFormat="1" ht="14.25" customHeight="1" x14ac:dyDescent="0.25">
      <c r="A7" s="72" t="s">
        <v>109</v>
      </c>
      <c r="B7" s="116" t="str">
        <f>IF($B$6="","",_xlfn.XLOOKUP($B$6,tech_param[Technologie],tech_param[ID]))</f>
        <v/>
      </c>
      <c r="C7" s="117"/>
      <c r="D7" s="117"/>
      <c r="E7" s="117"/>
      <c r="F7" s="117"/>
      <c r="G7" s="117"/>
      <c r="H7" s="117"/>
      <c r="M7" s="71"/>
      <c r="N7" s="22" t="s">
        <v>110</v>
      </c>
      <c r="Q7" s="114"/>
      <c r="R7" s="115"/>
    </row>
    <row r="8" spans="1:18" s="22" customFormat="1" ht="14.25" customHeight="1" x14ac:dyDescent="0.25">
      <c r="C8" s="114"/>
      <c r="M8" s="263"/>
      <c r="N8" s="22" t="s">
        <v>111</v>
      </c>
      <c r="Q8" s="114"/>
    </row>
    <row r="9" spans="1:18" s="22" customFormat="1" ht="14.25" customHeight="1" x14ac:dyDescent="0.25">
      <c r="C9" s="114"/>
      <c r="M9" s="119"/>
      <c r="N9" s="22" t="s">
        <v>112</v>
      </c>
      <c r="Q9" s="114"/>
    </row>
    <row r="10" spans="1:18" s="22" customFormat="1" ht="14.25" customHeight="1" x14ac:dyDescent="0.25">
      <c r="A10" s="120"/>
      <c r="C10" s="114"/>
      <c r="M10" s="121"/>
      <c r="N10" s="122" t="s">
        <v>113</v>
      </c>
      <c r="O10" s="114"/>
      <c r="P10" s="114"/>
      <c r="Q10" s="123"/>
    </row>
    <row r="11" spans="1:18" s="22" customFormat="1" ht="14.25" customHeight="1" x14ac:dyDescent="0.25">
      <c r="A11" s="22" t="s">
        <v>61</v>
      </c>
      <c r="B11" s="124" t="str">
        <f>IFERROR(_xlfn.XLOOKUP($B$7,tech_param[ID],tech_param[Referentiebedrag]),"")</f>
        <v/>
      </c>
      <c r="C11" s="22" t="s">
        <v>114</v>
      </c>
      <c r="H11" s="125"/>
      <c r="I11" s="125"/>
      <c r="J11" s="125"/>
      <c r="K11" s="125"/>
      <c r="L11" s="125"/>
      <c r="M11" s="125"/>
      <c r="N11" s="125"/>
      <c r="O11" s="125"/>
      <c r="P11" s="125"/>
      <c r="Q11" s="125"/>
    </row>
    <row r="12" spans="1:18" s="22" customFormat="1" ht="14.25" customHeight="1" x14ac:dyDescent="0.25">
      <c r="A12" s="22" t="s">
        <v>115</v>
      </c>
      <c r="B12" s="99"/>
      <c r="C12" s="22" t="s">
        <v>114</v>
      </c>
      <c r="D12" s="125"/>
      <c r="E12" s="125"/>
      <c r="F12" s="125"/>
      <c r="G12" s="125"/>
      <c r="H12" s="126"/>
      <c r="I12" s="125"/>
      <c r="J12" s="125"/>
      <c r="K12" s="125"/>
      <c r="L12" s="125"/>
      <c r="M12" s="125"/>
      <c r="N12" s="125"/>
      <c r="O12" s="125"/>
      <c r="P12" s="125"/>
      <c r="Q12" s="125"/>
    </row>
    <row r="13" spans="1:18" s="22" customFormat="1" ht="15.6" customHeight="1" x14ac:dyDescent="0.25"/>
    <row r="14" spans="1:18" s="22" customFormat="1" ht="15.6" customHeight="1" x14ac:dyDescent="0.25">
      <c r="B14" s="296" t="str">
        <f>IF(B12&gt;B11,"Opgelet: het aanvraagbedrag is groter dan het referentiebedrag.","")</f>
        <v/>
      </c>
      <c r="C14" s="297"/>
      <c r="D14" s="297"/>
      <c r="E14" s="297"/>
      <c r="F14" s="297"/>
      <c r="G14" s="297"/>
      <c r="H14" s="297"/>
      <c r="I14" s="297"/>
      <c r="J14" s="297"/>
      <c r="K14" s="297"/>
      <c r="L14" s="297"/>
      <c r="M14" s="297"/>
      <c r="N14" s="297"/>
      <c r="O14" s="128"/>
      <c r="P14" s="128"/>
      <c r="Q14" s="128"/>
    </row>
    <row r="15" spans="1:18" s="22" customFormat="1" ht="15.6" customHeight="1" x14ac:dyDescent="0.25">
      <c r="B15" s="127"/>
      <c r="C15" s="128"/>
      <c r="D15" s="128"/>
      <c r="E15" s="128"/>
      <c r="F15" s="128"/>
      <c r="G15" s="128"/>
      <c r="H15" s="128"/>
      <c r="I15" s="128"/>
      <c r="J15" s="128"/>
      <c r="K15" s="128"/>
      <c r="L15" s="128"/>
      <c r="M15" s="128"/>
      <c r="N15" s="128"/>
      <c r="O15" s="128"/>
      <c r="P15" s="128"/>
      <c r="Q15" s="128"/>
    </row>
    <row r="16" spans="1:18" s="45" customFormat="1" ht="14.25" customHeight="1" x14ac:dyDescent="0.25">
      <c r="A16" s="13" t="s">
        <v>116</v>
      </c>
      <c r="B16" s="43"/>
      <c r="C16" s="43"/>
      <c r="D16" s="43"/>
      <c r="E16" s="43"/>
      <c r="F16" s="43"/>
      <c r="G16" s="43"/>
      <c r="H16" s="43"/>
      <c r="I16" s="43"/>
      <c r="J16" s="43"/>
    </row>
    <row r="17" spans="1:18" s="22" customFormat="1" ht="14.25" customHeight="1" x14ac:dyDescent="0.25">
      <c r="A17" s="290" t="s">
        <v>117</v>
      </c>
      <c r="B17" s="291"/>
      <c r="C17" s="291"/>
      <c r="D17" s="291"/>
      <c r="E17" s="291"/>
      <c r="F17" s="291"/>
      <c r="G17" s="291"/>
      <c r="H17" s="291"/>
      <c r="I17" s="291"/>
      <c r="J17" s="291"/>
      <c r="K17" s="291"/>
      <c r="L17" s="291"/>
      <c r="M17" s="291"/>
      <c r="N17" s="294"/>
      <c r="O17" s="294"/>
      <c r="P17" s="294"/>
      <c r="Q17" s="294"/>
    </row>
    <row r="18" spans="1:18" s="22" customFormat="1" ht="14.25" customHeight="1" x14ac:dyDescent="0.25">
      <c r="A18" s="129"/>
      <c r="B18" s="35"/>
    </row>
    <row r="19" spans="1:18" s="22" customFormat="1" ht="14.25" customHeight="1" x14ac:dyDescent="0.25">
      <c r="A19" s="130"/>
      <c r="B19" s="35"/>
      <c r="H19" s="298" t="s">
        <v>118</v>
      </c>
      <c r="I19" s="298"/>
      <c r="J19" s="298"/>
      <c r="K19" s="298"/>
      <c r="L19" s="298"/>
      <c r="M19" s="298"/>
      <c r="N19" s="298"/>
      <c r="O19" s="298"/>
      <c r="P19" s="298"/>
      <c r="Q19" s="298"/>
    </row>
    <row r="20" spans="1:18" s="22" customFormat="1" ht="14.25" customHeight="1" x14ac:dyDescent="0.25">
      <c r="A20" s="130"/>
      <c r="B20" s="35"/>
      <c r="D20" s="131">
        <v>-4</v>
      </c>
      <c r="E20" s="131">
        <v>-3</v>
      </c>
      <c r="F20" s="131">
        <v>-2</v>
      </c>
      <c r="G20" s="131">
        <v>-1</v>
      </c>
      <c r="H20" s="131">
        <v>1</v>
      </c>
      <c r="I20" s="131">
        <v>2</v>
      </c>
      <c r="J20" s="131">
        <v>3</v>
      </c>
      <c r="K20" s="131">
        <v>4</v>
      </c>
      <c r="L20" s="131">
        <v>5</v>
      </c>
      <c r="M20" s="131">
        <v>6</v>
      </c>
      <c r="N20" s="131">
        <v>7</v>
      </c>
      <c r="O20" s="131">
        <v>8</v>
      </c>
      <c r="P20" s="131">
        <v>9</v>
      </c>
      <c r="Q20" s="131">
        <v>10</v>
      </c>
    </row>
    <row r="21" spans="1:18" s="135" customFormat="1" ht="31.5" customHeight="1" x14ac:dyDescent="0.25">
      <c r="A21" s="132" t="s">
        <v>119</v>
      </c>
      <c r="B21" s="133" t="s">
        <v>120</v>
      </c>
      <c r="C21" s="132" t="s">
        <v>19</v>
      </c>
      <c r="D21" s="134"/>
      <c r="E21" s="134"/>
      <c r="F21" s="134"/>
      <c r="G21" s="134"/>
      <c r="H21" s="134"/>
      <c r="I21" s="134"/>
      <c r="J21" s="134"/>
      <c r="K21" s="134"/>
      <c r="L21" s="134"/>
      <c r="M21" s="134"/>
      <c r="N21" s="134"/>
      <c r="O21" s="134"/>
      <c r="P21" s="134"/>
      <c r="Q21" s="134"/>
    </row>
    <row r="22" spans="1:18" s="22" customFormat="1" ht="14.25" customHeight="1" x14ac:dyDescent="0.25">
      <c r="A22" s="22" t="s">
        <v>121</v>
      </c>
      <c r="B22" s="100"/>
      <c r="C22" s="22" t="s">
        <v>122</v>
      </c>
    </row>
    <row r="23" spans="1:18" s="22" customFormat="1" ht="14.25" customHeight="1" x14ac:dyDescent="0.25">
      <c r="A23" s="22" t="s">
        <v>123</v>
      </c>
      <c r="B23" s="264">
        <f>'Technologie parameters'!Q9</f>
        <v>0.99</v>
      </c>
    </row>
    <row r="24" spans="1:18" s="22" customFormat="1" ht="14.25" customHeight="1" x14ac:dyDescent="0.25">
      <c r="A24" s="112" t="s">
        <v>124</v>
      </c>
      <c r="B24" s="99"/>
      <c r="H24" s="98">
        <f t="shared" ref="H24:Q24" si="0">$B$24</f>
        <v>0</v>
      </c>
      <c r="I24" s="98">
        <f t="shared" si="0"/>
        <v>0</v>
      </c>
      <c r="J24" s="98">
        <f t="shared" si="0"/>
        <v>0</v>
      </c>
      <c r="K24" s="98">
        <f t="shared" si="0"/>
        <v>0</v>
      </c>
      <c r="L24" s="98">
        <f t="shared" si="0"/>
        <v>0</v>
      </c>
      <c r="M24" s="98">
        <f t="shared" si="0"/>
        <v>0</v>
      </c>
      <c r="N24" s="98">
        <f t="shared" si="0"/>
        <v>0</v>
      </c>
      <c r="O24" s="98">
        <f t="shared" si="0"/>
        <v>0</v>
      </c>
      <c r="P24" s="98">
        <f t="shared" si="0"/>
        <v>0</v>
      </c>
      <c r="Q24" s="98">
        <f t="shared" si="0"/>
        <v>0</v>
      </c>
    </row>
    <row r="25" spans="1:18" s="22" customFormat="1" ht="14.25" customHeight="1" x14ac:dyDescent="0.25">
      <c r="B25" s="137"/>
    </row>
    <row r="26" spans="1:18" s="22" customFormat="1" ht="14.25" customHeight="1" x14ac:dyDescent="0.25">
      <c r="A26" s="112" t="s">
        <v>125</v>
      </c>
      <c r="B26" s="265">
        <f>IF(B7=1,B22*B23,B24*B22)</f>
        <v>0</v>
      </c>
      <c r="C26" s="22" t="s">
        <v>126</v>
      </c>
    </row>
    <row r="27" spans="1:18" s="22" customFormat="1" ht="14.25" customHeight="1" x14ac:dyDescent="0.25">
      <c r="B27" s="139"/>
    </row>
    <row r="28" spans="1:18" s="22" customFormat="1" ht="14.25" customHeight="1" x14ac:dyDescent="0.25"/>
    <row r="29" spans="1:18" s="22" customFormat="1" ht="14.25" customHeight="1" x14ac:dyDescent="0.25">
      <c r="A29" s="22" t="s">
        <v>127</v>
      </c>
      <c r="B29" s="139"/>
      <c r="C29" s="22" t="s">
        <v>128</v>
      </c>
      <c r="H29" s="101" t="str">
        <f t="shared" ref="H29:Q29" si="1">$B$30</f>
        <v/>
      </c>
      <c r="I29" s="101" t="str">
        <f t="shared" si="1"/>
        <v/>
      </c>
      <c r="J29" s="101" t="str">
        <f t="shared" si="1"/>
        <v/>
      </c>
      <c r="K29" s="101" t="str">
        <f t="shared" si="1"/>
        <v/>
      </c>
      <c r="L29" s="101" t="str">
        <f t="shared" si="1"/>
        <v/>
      </c>
      <c r="M29" s="101" t="str">
        <f t="shared" si="1"/>
        <v/>
      </c>
      <c r="N29" s="101" t="str">
        <f t="shared" si="1"/>
        <v/>
      </c>
      <c r="O29" s="101" t="str">
        <f t="shared" si="1"/>
        <v/>
      </c>
      <c r="P29" s="101" t="str">
        <f t="shared" si="1"/>
        <v/>
      </c>
      <c r="Q29" s="101" t="str">
        <f t="shared" si="1"/>
        <v/>
      </c>
      <c r="R29" s="266"/>
    </row>
    <row r="30" spans="1:18" s="22" customFormat="1" ht="13.15" customHeight="1" x14ac:dyDescent="0.25">
      <c r="A30" s="22" t="s">
        <v>59</v>
      </c>
      <c r="B30" s="141" t="str">
        <f>IFERROR(_xlfn.XLOOKUP($B$7,tech_param[ID],tech_param[Maximum aantal vollasturen]),"")</f>
        <v/>
      </c>
      <c r="C30" s="22" t="s">
        <v>128</v>
      </c>
      <c r="H30" s="267"/>
      <c r="I30" s="267"/>
      <c r="J30" s="267"/>
      <c r="K30" s="267"/>
      <c r="L30" s="267"/>
      <c r="M30" s="267"/>
      <c r="N30" s="267"/>
      <c r="O30" s="267"/>
      <c r="P30" s="267"/>
      <c r="Q30" s="267"/>
      <c r="R30" s="266"/>
    </row>
    <row r="31" spans="1:18" s="22" customFormat="1" ht="14.25" customHeight="1" x14ac:dyDescent="0.25">
      <c r="A31" s="22" t="s">
        <v>129</v>
      </c>
      <c r="B31" s="139"/>
      <c r="C31" s="22" t="s">
        <v>128</v>
      </c>
      <c r="H31" s="267">
        <f t="shared" ref="H31:Q31" si="2">MIN($B$30,IF(H29="",0,H29))</f>
        <v>0</v>
      </c>
      <c r="I31" s="267">
        <f t="shared" si="2"/>
        <v>0</v>
      </c>
      <c r="J31" s="267">
        <f t="shared" si="2"/>
        <v>0</v>
      </c>
      <c r="K31" s="267">
        <f t="shared" si="2"/>
        <v>0</v>
      </c>
      <c r="L31" s="267">
        <f t="shared" si="2"/>
        <v>0</v>
      </c>
      <c r="M31" s="267">
        <f t="shared" si="2"/>
        <v>0</v>
      </c>
      <c r="N31" s="267">
        <f t="shared" si="2"/>
        <v>0</v>
      </c>
      <c r="O31" s="267">
        <f t="shared" si="2"/>
        <v>0</v>
      </c>
      <c r="P31" s="267">
        <f t="shared" si="2"/>
        <v>0</v>
      </c>
      <c r="Q31" s="267">
        <f t="shared" si="2"/>
        <v>0</v>
      </c>
      <c r="R31" s="266"/>
    </row>
    <row r="32" spans="1:18" s="22" customFormat="1" ht="14.25" customHeight="1" x14ac:dyDescent="0.25">
      <c r="B32" s="139"/>
      <c r="H32" s="267"/>
      <c r="I32" s="267"/>
      <c r="J32" s="267"/>
      <c r="K32" s="267"/>
      <c r="L32" s="267"/>
      <c r="M32" s="267"/>
      <c r="N32" s="267"/>
      <c r="O32" s="267"/>
      <c r="P32" s="267"/>
      <c r="Q32" s="267"/>
      <c r="R32" s="266"/>
    </row>
    <row r="33" spans="1:18" s="22" customFormat="1" ht="14.25" customHeight="1" x14ac:dyDescent="0.25">
      <c r="A33" s="132"/>
      <c r="B33" s="35"/>
      <c r="C33" s="125"/>
      <c r="D33" s="125"/>
      <c r="E33" s="125"/>
      <c r="F33" s="125"/>
      <c r="G33" s="125"/>
      <c r="H33" s="126"/>
      <c r="I33" s="125"/>
      <c r="J33" s="125"/>
      <c r="K33" s="125"/>
      <c r="L33" s="125"/>
      <c r="M33" s="125"/>
      <c r="N33" s="125"/>
      <c r="O33" s="125"/>
      <c r="P33" s="125"/>
      <c r="Q33" s="125"/>
    </row>
    <row r="34" spans="1:18" s="135" customFormat="1" ht="14.25" customHeight="1" x14ac:dyDescent="0.25">
      <c r="A34" s="132" t="s">
        <v>130</v>
      </c>
      <c r="B34" s="133"/>
      <c r="C34" s="132" t="s">
        <v>19</v>
      </c>
      <c r="D34" s="134"/>
      <c r="E34" s="134"/>
      <c r="F34" s="134"/>
      <c r="G34" s="134"/>
      <c r="H34" s="134"/>
      <c r="I34" s="134"/>
      <c r="J34" s="134"/>
      <c r="K34" s="134"/>
      <c r="L34" s="134"/>
      <c r="M34" s="134"/>
      <c r="N34" s="134"/>
      <c r="O34" s="134"/>
      <c r="P34" s="134"/>
      <c r="Q34" s="134"/>
    </row>
    <row r="35" spans="1:18" s="22" customFormat="1" ht="14.25" customHeight="1" x14ac:dyDescent="0.25">
      <c r="A35" s="22" t="s">
        <v>131</v>
      </c>
      <c r="B35" s="139"/>
      <c r="C35" s="22" t="s">
        <v>132</v>
      </c>
      <c r="D35" s="100"/>
      <c r="E35" s="100"/>
      <c r="F35" s="100"/>
      <c r="G35" s="100"/>
      <c r="H35" s="35"/>
      <c r="I35" s="143"/>
      <c r="J35" s="143"/>
      <c r="K35" s="143"/>
      <c r="L35" s="143"/>
      <c r="M35" s="143"/>
      <c r="N35" s="143"/>
      <c r="O35" s="143"/>
      <c r="P35" s="143"/>
      <c r="Q35" s="143"/>
      <c r="R35" s="144"/>
    </row>
    <row r="36" spans="1:18" s="22" customFormat="1" ht="14.25" customHeight="1" x14ac:dyDescent="0.25">
      <c r="D36" s="139"/>
      <c r="E36" s="139"/>
      <c r="F36" s="139"/>
      <c r="G36" s="139"/>
      <c r="H36" s="35"/>
      <c r="I36" s="143"/>
      <c r="J36" s="143"/>
      <c r="K36" s="143"/>
      <c r="L36" s="143"/>
      <c r="M36" s="143"/>
      <c r="N36" s="143"/>
      <c r="O36" s="143"/>
      <c r="P36" s="143"/>
      <c r="Q36" s="143"/>
      <c r="R36" s="144"/>
    </row>
    <row r="37" spans="1:18" s="22" customFormat="1" ht="14.25" customHeight="1" x14ac:dyDescent="0.25">
      <c r="A37" s="22" t="s">
        <v>133</v>
      </c>
      <c r="D37" s="139"/>
      <c r="E37" s="139"/>
      <c r="F37" s="139"/>
      <c r="G37" s="139"/>
      <c r="H37" s="102" t="s">
        <v>134</v>
      </c>
      <c r="I37" s="102" t="s">
        <v>134</v>
      </c>
      <c r="J37" s="102" t="s">
        <v>134</v>
      </c>
      <c r="K37" s="102" t="s">
        <v>134</v>
      </c>
      <c r="L37" s="102" t="s">
        <v>134</v>
      </c>
      <c r="M37" s="102" t="s">
        <v>134</v>
      </c>
      <c r="N37" s="102" t="s">
        <v>134</v>
      </c>
      <c r="O37" s="102" t="s">
        <v>134</v>
      </c>
      <c r="P37" s="102" t="s">
        <v>134</v>
      </c>
      <c r="Q37" s="102" t="s">
        <v>134</v>
      </c>
      <c r="R37" s="144"/>
    </row>
    <row r="38" spans="1:18" s="22" customFormat="1" ht="14.25" customHeight="1" x14ac:dyDescent="0.25">
      <c r="A38" s="112" t="s">
        <v>135</v>
      </c>
      <c r="B38" s="139"/>
      <c r="C38" s="22" t="s">
        <v>105</v>
      </c>
      <c r="H38" s="103" cm="1">
        <f t="array" aca="1" ref="H38" ca="1">_xlfn.XLOOKUP("Netkosten " &amp; H37,INDIRECT("prefill[Kostenpost]"),prefill[1])</f>
        <v>45.415199999999999</v>
      </c>
      <c r="I38" s="103" cm="1">
        <f t="array" aca="1" ref="I38" ca="1">_xlfn.XLOOKUP("Netkosten " &amp; I37,INDIRECT("prefill[Kostenpost]"),prefill[2])</f>
        <v>46.323504</v>
      </c>
      <c r="J38" s="103" cm="1">
        <f t="array" aca="1" ref="J38" ca="1">_xlfn.XLOOKUP("Netkosten " &amp; J37,INDIRECT("prefill[Kostenpost]"),prefill[3])</f>
        <v>47.249974080000001</v>
      </c>
      <c r="K38" s="103" cm="1">
        <f t="array" aca="1" ref="K38" ca="1">_xlfn.XLOOKUP("Netkosten " &amp; K37,INDIRECT("prefill[Kostenpost]"),prefill[4])</f>
        <v>48.194973561600001</v>
      </c>
      <c r="L38" s="103" cm="1">
        <f t="array" aca="1" ref="L38" ca="1">_xlfn.XLOOKUP("Netkosten " &amp; L37,INDIRECT("prefill[Kostenpost]"),prefill[5])</f>
        <v>49.158873032832005</v>
      </c>
      <c r="M38" s="103" cm="1">
        <f t="array" aca="1" ref="M38" ca="1">_xlfn.XLOOKUP("Netkosten " &amp; M37,INDIRECT("prefill[Kostenpost]"),prefill[6])</f>
        <v>50.142050493488647</v>
      </c>
      <c r="N38" s="103" cm="1">
        <f t="array" aca="1" ref="N38" ca="1">_xlfn.XLOOKUP("Netkosten " &amp; N37,INDIRECT("prefill[Kostenpost]"),prefill[7])</f>
        <v>51.144891503358423</v>
      </c>
      <c r="O38" s="103" cm="1">
        <f t="array" aca="1" ref="O38" ca="1">_xlfn.XLOOKUP("Netkosten " &amp; O37,INDIRECT("prefill[Kostenpost]"),prefill[8])</f>
        <v>52.167789333425596</v>
      </c>
      <c r="P38" s="103" cm="1">
        <f t="array" aca="1" ref="P38" ca="1">_xlfn.XLOOKUP("Netkosten " &amp; P37,INDIRECT("prefill[Kostenpost]"),prefill[9])</f>
        <v>53.211145120094109</v>
      </c>
      <c r="Q38" s="103" cm="1">
        <f t="array" aca="1" ref="Q38" ca="1">_xlfn.XLOOKUP("Netkosten " &amp; Q37,INDIRECT("prefill[Kostenpost]"),prefill[10])</f>
        <v>54.275368022495989</v>
      </c>
      <c r="R38" s="268"/>
    </row>
    <row r="39" spans="1:18" s="22" customFormat="1" ht="14.25" customHeight="1" x14ac:dyDescent="0.25">
      <c r="A39" s="146" t="s">
        <v>136</v>
      </c>
      <c r="B39" s="264" t="str">
        <f>IFERROR(_xlfn.XLOOKUP($B$7,tech_param[ID],tech_param[Correctiefactor netkost]),"")</f>
        <v/>
      </c>
      <c r="H39" s="269"/>
      <c r="I39" s="269"/>
      <c r="J39" s="269"/>
      <c r="K39" s="269"/>
      <c r="L39" s="269"/>
      <c r="M39" s="269"/>
      <c r="N39" s="269"/>
      <c r="O39" s="269"/>
      <c r="P39" s="269"/>
      <c r="Q39" s="269"/>
      <c r="R39" s="268"/>
    </row>
    <row r="40" spans="1:18" s="22" customFormat="1" ht="14.25" customHeight="1" x14ac:dyDescent="0.25">
      <c r="A40" s="148" t="s">
        <v>137</v>
      </c>
      <c r="B40" s="139"/>
      <c r="C40" s="22" t="s">
        <v>138</v>
      </c>
      <c r="H40" s="265" t="str">
        <f t="shared" ref="H40:Q40" ca="1" si="3">IFERROR(H38*$B$39*$B$22,"")</f>
        <v/>
      </c>
      <c r="I40" s="265" t="str">
        <f t="shared" ca="1" si="3"/>
        <v/>
      </c>
      <c r="J40" s="265" t="str">
        <f t="shared" ca="1" si="3"/>
        <v/>
      </c>
      <c r="K40" s="265" t="str">
        <f t="shared" ca="1" si="3"/>
        <v/>
      </c>
      <c r="L40" s="265" t="str">
        <f t="shared" ca="1" si="3"/>
        <v/>
      </c>
      <c r="M40" s="265" t="str">
        <f t="shared" ca="1" si="3"/>
        <v/>
      </c>
      <c r="N40" s="265" t="str">
        <f t="shared" ca="1" si="3"/>
        <v/>
      </c>
      <c r="O40" s="265" t="str">
        <f t="shared" ca="1" si="3"/>
        <v/>
      </c>
      <c r="P40" s="265" t="str">
        <f t="shared" ca="1" si="3"/>
        <v/>
      </c>
      <c r="Q40" s="265" t="str">
        <f t="shared" ca="1" si="3"/>
        <v/>
      </c>
      <c r="R40" s="268"/>
    </row>
    <row r="41" spans="1:18" s="22" customFormat="1" ht="14.25" customHeight="1" x14ac:dyDescent="0.25">
      <c r="A41" s="149" t="s">
        <v>139</v>
      </c>
      <c r="B41" s="139"/>
      <c r="C41" s="22" t="s">
        <v>138</v>
      </c>
      <c r="H41" s="100">
        <f t="shared" ref="H41:Q41" si="4">0.04*SUM($D$35:$G$35)</f>
        <v>0</v>
      </c>
      <c r="I41" s="100">
        <f t="shared" si="4"/>
        <v>0</v>
      </c>
      <c r="J41" s="100">
        <f t="shared" si="4"/>
        <v>0</v>
      </c>
      <c r="K41" s="100">
        <f t="shared" si="4"/>
        <v>0</v>
      </c>
      <c r="L41" s="100">
        <f t="shared" si="4"/>
        <v>0</v>
      </c>
      <c r="M41" s="100">
        <f t="shared" si="4"/>
        <v>0</v>
      </c>
      <c r="N41" s="100">
        <f t="shared" si="4"/>
        <v>0</v>
      </c>
      <c r="O41" s="100">
        <f t="shared" si="4"/>
        <v>0</v>
      </c>
      <c r="P41" s="100">
        <f t="shared" si="4"/>
        <v>0</v>
      </c>
      <c r="Q41" s="100">
        <f t="shared" si="4"/>
        <v>0</v>
      </c>
      <c r="R41" s="268"/>
    </row>
    <row r="42" spans="1:18" s="22" customFormat="1" ht="14.25" customHeight="1" x14ac:dyDescent="0.25">
      <c r="A42" s="112" t="s">
        <v>140</v>
      </c>
      <c r="B42" s="139"/>
      <c r="C42" s="22" t="s">
        <v>138</v>
      </c>
      <c r="H42" s="139" t="str">
        <f t="shared" ref="H42:Q42" ca="1" si="5">IFERROR(ABS(H40)+ABS(H41),"")</f>
        <v/>
      </c>
      <c r="I42" s="139" t="str">
        <f t="shared" ca="1" si="5"/>
        <v/>
      </c>
      <c r="J42" s="139" t="str">
        <f t="shared" ca="1" si="5"/>
        <v/>
      </c>
      <c r="K42" s="139" t="str">
        <f t="shared" ca="1" si="5"/>
        <v/>
      </c>
      <c r="L42" s="139" t="str">
        <f t="shared" ca="1" si="5"/>
        <v/>
      </c>
      <c r="M42" s="139" t="str">
        <f t="shared" ca="1" si="5"/>
        <v/>
      </c>
      <c r="N42" s="139" t="str">
        <f t="shared" ca="1" si="5"/>
        <v/>
      </c>
      <c r="O42" s="139" t="str">
        <f t="shared" ca="1" si="5"/>
        <v/>
      </c>
      <c r="P42" s="139" t="str">
        <f t="shared" ca="1" si="5"/>
        <v/>
      </c>
      <c r="Q42" s="139" t="str">
        <f t="shared" ca="1" si="5"/>
        <v/>
      </c>
      <c r="R42" s="125"/>
    </row>
    <row r="43" spans="1:18" s="22" customFormat="1" ht="14.25" customHeight="1" x14ac:dyDescent="0.25">
      <c r="A43" s="112"/>
      <c r="B43" s="139"/>
      <c r="H43" s="139"/>
      <c r="I43" s="139"/>
      <c r="J43" s="139"/>
      <c r="K43" s="139"/>
      <c r="L43" s="139"/>
      <c r="M43" s="139"/>
      <c r="N43" s="139"/>
      <c r="O43" s="139"/>
      <c r="P43" s="139"/>
      <c r="Q43" s="139"/>
      <c r="R43" s="125"/>
    </row>
    <row r="44" spans="1:18" s="22" customFormat="1" ht="14.25" customHeight="1" x14ac:dyDescent="0.25">
      <c r="A44" s="149" t="s">
        <v>141</v>
      </c>
      <c r="B44" s="35"/>
      <c r="C44" s="22" t="s">
        <v>103</v>
      </c>
      <c r="H44" s="104">
        <f>IF($B$7=1,'Technologie parameters'!C31,'Technologie parameters'!C30)</f>
        <v>8.076829363451217E-2</v>
      </c>
      <c r="I44" s="104">
        <f>IF($B$7=1,'Technologie parameters'!D31,'Technologie parameters'!D30)</f>
        <v>8.076829363451217E-2</v>
      </c>
      <c r="J44" s="104">
        <f>IF($B$7=1,'Technologie parameters'!E31,'Technologie parameters'!E30)</f>
        <v>8.076829363451217E-2</v>
      </c>
      <c r="K44" s="104">
        <f>IF($B$7=1,'Technologie parameters'!F31,'Technologie parameters'!F30)</f>
        <v>8.076829363451217E-2</v>
      </c>
      <c r="L44" s="104">
        <f>IF($B$7=1,'Technologie parameters'!G31,'Technologie parameters'!G30)</f>
        <v>9.7786940780525702E-2</v>
      </c>
      <c r="M44" s="104">
        <f>IF($B$7=1,'Technologie parameters'!H31,'Technologie parameters'!H30)</f>
        <v>9.6992881411781598E-2</v>
      </c>
      <c r="N44" s="104">
        <f>IF($B$7=1,'Technologie parameters'!I31,'Technologie parameters'!I30)</f>
        <v>9.61279448919755E-2</v>
      </c>
      <c r="O44" s="104">
        <f>IF($B$7=1,'Technologie parameters'!J31,'Technologie parameters'!J30)</f>
        <v>9.5189613758812394E-2</v>
      </c>
      <c r="P44" s="104">
        <f>IF($B$7=1,'Technologie parameters'!K31,'Technologie parameters'!K30)</f>
        <v>9.4175298202366087E-2</v>
      </c>
      <c r="Q44" s="104">
        <f>IF($B$7=1,'Technologie parameters'!L31,'Technologie parameters'!L30)</f>
        <v>9.6058804166413395E-2</v>
      </c>
      <c r="R44" s="270"/>
    </row>
    <row r="45" spans="1:18" s="22" customFormat="1" ht="14.25" customHeight="1" x14ac:dyDescent="0.25">
      <c r="A45" s="151" t="s">
        <v>142</v>
      </c>
      <c r="B45" s="152"/>
      <c r="C45" s="22" t="s">
        <v>103</v>
      </c>
      <c r="H45" s="105">
        <f>'Technologie parameters'!C35</f>
        <v>7.7200000000000003E-3</v>
      </c>
      <c r="I45" s="105">
        <f>'Technologie parameters'!D35</f>
        <v>7.8744000000000001E-3</v>
      </c>
      <c r="J45" s="105">
        <f>'Technologie parameters'!E35</f>
        <v>8.0318880000000009E-3</v>
      </c>
      <c r="K45" s="105">
        <f>'Technologie parameters'!F35</f>
        <v>8.1925257600000013E-3</v>
      </c>
      <c r="L45" s="105">
        <f>'Technologie parameters'!G35</f>
        <v>8.3563762752000021E-3</v>
      </c>
      <c r="M45" s="105">
        <f>'Technologie parameters'!H35</f>
        <v>8.5235038007040031E-3</v>
      </c>
      <c r="N45" s="105">
        <f>'Technologie parameters'!I35</f>
        <v>8.6939738767180825E-3</v>
      </c>
      <c r="O45" s="105">
        <f>'Technologie parameters'!J35</f>
        <v>8.8678533542524435E-3</v>
      </c>
      <c r="P45" s="105">
        <f>'Technologie parameters'!K35</f>
        <v>9.0452104213374924E-3</v>
      </c>
      <c r="Q45" s="105">
        <f>'Technologie parameters'!L35</f>
        <v>9.226114629764243E-3</v>
      </c>
      <c r="R45" s="268"/>
    </row>
    <row r="46" spans="1:18" s="22" customFormat="1" ht="14.25" customHeight="1" x14ac:dyDescent="0.25">
      <c r="A46" s="153" t="s">
        <v>143</v>
      </c>
      <c r="B46" s="31"/>
      <c r="C46" s="22" t="s">
        <v>103</v>
      </c>
      <c r="H46" s="31">
        <f t="shared" ref="H46:Q46" si="6">SUM(H44:H45)</f>
        <v>8.8488293634512175E-2</v>
      </c>
      <c r="I46" s="31">
        <f t="shared" si="6"/>
        <v>8.8642693634512174E-2</v>
      </c>
      <c r="J46" s="31">
        <f t="shared" si="6"/>
        <v>8.8800181634512171E-2</v>
      </c>
      <c r="K46" s="31">
        <f t="shared" si="6"/>
        <v>8.8960819394512169E-2</v>
      </c>
      <c r="L46" s="31">
        <f t="shared" si="6"/>
        <v>0.1061433170557257</v>
      </c>
      <c r="M46" s="31">
        <f t="shared" si="6"/>
        <v>0.1055163852124856</v>
      </c>
      <c r="N46" s="31">
        <f t="shared" si="6"/>
        <v>0.10482191876869358</v>
      </c>
      <c r="O46" s="31">
        <f t="shared" si="6"/>
        <v>0.10405746711306484</v>
      </c>
      <c r="P46" s="31">
        <f t="shared" si="6"/>
        <v>0.10322050862370358</v>
      </c>
      <c r="Q46" s="31">
        <f t="shared" si="6"/>
        <v>0.10528491879617764</v>
      </c>
      <c r="R46" s="125"/>
    </row>
    <row r="47" spans="1:18" s="22" customFormat="1" ht="14.25" customHeight="1" x14ac:dyDescent="0.25">
      <c r="A47" s="154" t="s">
        <v>144</v>
      </c>
      <c r="B47" s="155"/>
      <c r="C47" s="22" t="s">
        <v>138</v>
      </c>
      <c r="H47" s="156" t="str">
        <f t="shared" ref="H47:Q47" si="7">IFERROR(H46*($B$22*H29),"")</f>
        <v/>
      </c>
      <c r="I47" s="156" t="str">
        <f t="shared" si="7"/>
        <v/>
      </c>
      <c r="J47" s="156" t="str">
        <f t="shared" si="7"/>
        <v/>
      </c>
      <c r="K47" s="156" t="str">
        <f t="shared" si="7"/>
        <v/>
      </c>
      <c r="L47" s="156" t="str">
        <f t="shared" si="7"/>
        <v/>
      </c>
      <c r="M47" s="156" t="str">
        <f t="shared" si="7"/>
        <v/>
      </c>
      <c r="N47" s="156" t="str">
        <f t="shared" si="7"/>
        <v/>
      </c>
      <c r="O47" s="156" t="str">
        <f t="shared" si="7"/>
        <v/>
      </c>
      <c r="P47" s="156" t="str">
        <f t="shared" si="7"/>
        <v/>
      </c>
      <c r="Q47" s="156" t="str">
        <f t="shared" si="7"/>
        <v/>
      </c>
      <c r="R47" s="125"/>
    </row>
    <row r="48" spans="1:18" s="22" customFormat="1" ht="14.25" customHeight="1" x14ac:dyDescent="0.25">
      <c r="A48" s="153" t="s">
        <v>145</v>
      </c>
      <c r="B48" s="157" t="str">
        <f>IFERROR(_xlfn.XLOOKUP($B$7,tech_param[ID],tech_param[LT Marktprijs elektriciteit])+_xlfn.XLOOKUP($B$7,tech_param[ID],tech_param[Netkosten op verbruik en heffingen elektriciteit]),"")</f>
        <v/>
      </c>
      <c r="C48" s="22" t="s">
        <v>103</v>
      </c>
      <c r="H48" s="35"/>
      <c r="I48" s="271"/>
      <c r="J48" s="271"/>
      <c r="K48" s="271"/>
      <c r="L48" s="271"/>
      <c r="M48" s="271"/>
      <c r="N48" s="271"/>
      <c r="O48" s="271"/>
      <c r="P48" s="271"/>
      <c r="Q48" s="271"/>
      <c r="R48" s="125"/>
    </row>
    <row r="49" spans="1:18" s="22" customFormat="1" ht="14.25" customHeight="1" x14ac:dyDescent="0.25">
      <c r="A49" s="21"/>
      <c r="B49" s="152"/>
      <c r="H49" s="35"/>
      <c r="I49" s="271"/>
      <c r="J49" s="271"/>
      <c r="K49" s="271"/>
      <c r="L49" s="271"/>
      <c r="M49" s="271"/>
      <c r="N49" s="271"/>
      <c r="O49" s="271"/>
      <c r="P49" s="271"/>
      <c r="Q49" s="271"/>
      <c r="R49" s="125"/>
    </row>
    <row r="50" spans="1:18" s="135" customFormat="1" ht="14.25" customHeight="1" x14ac:dyDescent="0.25">
      <c r="A50" s="132" t="s">
        <v>146</v>
      </c>
      <c r="B50" s="133"/>
      <c r="C50" s="132" t="s">
        <v>19</v>
      </c>
      <c r="D50" s="134"/>
      <c r="E50" s="134"/>
      <c r="F50" s="134"/>
      <c r="G50" s="134"/>
      <c r="H50" s="134"/>
      <c r="I50" s="134"/>
      <c r="J50" s="134"/>
      <c r="K50" s="134"/>
      <c r="L50" s="134"/>
      <c r="M50" s="134"/>
      <c r="N50" s="134"/>
      <c r="O50" s="134"/>
      <c r="P50" s="134"/>
      <c r="Q50" s="134"/>
    </row>
    <row r="51" spans="1:18" s="22" customFormat="1" ht="14.25" customHeight="1" x14ac:dyDescent="0.25">
      <c r="A51" s="148" t="s">
        <v>147</v>
      </c>
      <c r="B51" s="35"/>
      <c r="C51" s="22" t="s">
        <v>98</v>
      </c>
      <c r="H51" s="106">
        <f>'Technologie parameters'!C26</f>
        <v>2.9914182827597099E-2</v>
      </c>
      <c r="I51" s="106">
        <f>'Technologie parameters'!D26</f>
        <v>2.9914182827597099E-2</v>
      </c>
      <c r="J51" s="106">
        <f>'Technologie parameters'!E26</f>
        <v>2.9914182827597099E-2</v>
      </c>
      <c r="K51" s="106">
        <f>'Technologie parameters'!F26</f>
        <v>2.9914182827597099E-2</v>
      </c>
      <c r="L51" s="106">
        <f>'Technologie parameters'!G26</f>
        <v>3.02673864320675E-2</v>
      </c>
      <c r="M51" s="106">
        <f>'Technologie parameters'!H26</f>
        <v>3.0497761681024103E-2</v>
      </c>
      <c r="N51" s="106">
        <f>'Technologie parameters'!I26</f>
        <v>3.0852735628459003E-2</v>
      </c>
      <c r="O51" s="106">
        <f>'Technologie parameters'!J26</f>
        <v>3.10796689731642E-2</v>
      </c>
      <c r="P51" s="106">
        <f>'Technologie parameters'!K26</f>
        <v>3.17012623526274E-2</v>
      </c>
      <c r="Q51" s="106">
        <f>'Technologie parameters'!L26</f>
        <v>3.2335287599680004E-2</v>
      </c>
      <c r="R51" s="125"/>
    </row>
    <row r="52" spans="1:18" s="22" customFormat="1" ht="14.25" customHeight="1" x14ac:dyDescent="0.25">
      <c r="A52" s="148" t="s">
        <v>148</v>
      </c>
      <c r="B52" s="35"/>
      <c r="C52" s="22" t="s">
        <v>98</v>
      </c>
      <c r="H52" s="107">
        <f>'Technologie parameters'!C27</f>
        <v>1.0324492631999999E-3</v>
      </c>
      <c r="I52" s="107">
        <f>'Technologie parameters'!D27</f>
        <v>1.053098248464E-3</v>
      </c>
      <c r="J52" s="107">
        <f>'Technologie parameters'!E27</f>
        <v>1.0741602134332799E-3</v>
      </c>
      <c r="K52" s="107">
        <f>'Technologie parameters'!F27</f>
        <v>1.0956434177019456E-3</v>
      </c>
      <c r="L52" s="107">
        <f>'Technologie parameters'!G27</f>
        <v>1.1175562860559845E-3</v>
      </c>
      <c r="M52" s="107">
        <f>'Technologie parameters'!H27</f>
        <v>1.1399074117771043E-3</v>
      </c>
      <c r="N52" s="107">
        <f>'Technologie parameters'!I27</f>
        <v>1.1627055600126465E-3</v>
      </c>
      <c r="O52" s="107">
        <f>'Technologie parameters'!J27</f>
        <v>1.1859596712128994E-3</v>
      </c>
      <c r="P52" s="107">
        <f>'Technologie parameters'!K27</f>
        <v>1.2096788646371573E-3</v>
      </c>
      <c r="Q52" s="107">
        <f>'Technologie parameters'!L27</f>
        <v>1.2338724419299005E-3</v>
      </c>
      <c r="R52" s="125"/>
    </row>
    <row r="53" spans="1:18" s="22" customFormat="1" ht="14.25" customHeight="1" x14ac:dyDescent="0.25">
      <c r="A53" s="22" t="s">
        <v>149</v>
      </c>
      <c r="B53" s="35"/>
      <c r="C53" s="22" t="s">
        <v>98</v>
      </c>
      <c r="H53" s="152">
        <f t="shared" ref="H53:Q53" si="8">H51+H52</f>
        <v>3.0946632090797101E-2</v>
      </c>
      <c r="I53" s="152">
        <f t="shared" si="8"/>
        <v>3.0967281076061101E-2</v>
      </c>
      <c r="J53" s="152">
        <f t="shared" si="8"/>
        <v>3.0988343041030379E-2</v>
      </c>
      <c r="K53" s="152">
        <f t="shared" si="8"/>
        <v>3.1009826245299046E-2</v>
      </c>
      <c r="L53" s="152">
        <f t="shared" si="8"/>
        <v>3.1384942718123483E-2</v>
      </c>
      <c r="M53" s="152">
        <f t="shared" si="8"/>
        <v>3.1637669092801204E-2</v>
      </c>
      <c r="N53" s="152">
        <f t="shared" si="8"/>
        <v>3.2015441188471647E-2</v>
      </c>
      <c r="O53" s="152">
        <f t="shared" si="8"/>
        <v>3.2265628644377098E-2</v>
      </c>
      <c r="P53" s="152">
        <f t="shared" si="8"/>
        <v>3.291094121726456E-2</v>
      </c>
      <c r="Q53" s="152">
        <f t="shared" si="8"/>
        <v>3.3569160041609904E-2</v>
      </c>
      <c r="R53" s="125"/>
    </row>
    <row r="54" spans="1:18" s="22" customFormat="1" ht="14.25" customHeight="1" x14ac:dyDescent="0.25">
      <c r="B54" s="35"/>
      <c r="H54" s="35"/>
      <c r="I54" s="271"/>
      <c r="J54" s="271"/>
      <c r="K54" s="271"/>
      <c r="L54" s="271"/>
      <c r="M54" s="271"/>
      <c r="N54" s="271"/>
      <c r="O54" s="271"/>
      <c r="P54" s="271"/>
      <c r="Q54" s="271"/>
      <c r="R54" s="125"/>
    </row>
    <row r="55" spans="1:18" s="22" customFormat="1" ht="14.25" customHeight="1" x14ac:dyDescent="0.25">
      <c r="A55" s="22" t="s">
        <v>150</v>
      </c>
      <c r="B55" s="114"/>
      <c r="H55" s="35"/>
      <c r="I55" s="271"/>
      <c r="J55" s="271"/>
      <c r="K55" s="271"/>
      <c r="L55" s="271"/>
      <c r="M55" s="271"/>
      <c r="N55" s="271"/>
      <c r="O55" s="271"/>
      <c r="P55" s="271"/>
      <c r="Q55" s="271"/>
      <c r="R55" s="125"/>
    </row>
    <row r="56" spans="1:18" s="22" customFormat="1" ht="14.25" customHeight="1" x14ac:dyDescent="0.25">
      <c r="A56" s="159" t="s">
        <v>151</v>
      </c>
      <c r="B56" s="114"/>
      <c r="H56" s="102" t="s">
        <v>152</v>
      </c>
      <c r="I56" s="102" t="s">
        <v>152</v>
      </c>
      <c r="J56" s="102" t="s">
        <v>152</v>
      </c>
      <c r="K56" s="102" t="s">
        <v>152</v>
      </c>
      <c r="L56" s="102" t="s">
        <v>152</v>
      </c>
      <c r="M56" s="102" t="s">
        <v>152</v>
      </c>
      <c r="N56" s="102" t="s">
        <v>152</v>
      </c>
      <c r="O56" s="102" t="s">
        <v>152</v>
      </c>
      <c r="P56" s="102" t="s">
        <v>152</v>
      </c>
      <c r="Q56" s="102" t="s">
        <v>152</v>
      </c>
      <c r="R56" s="125"/>
    </row>
    <row r="57" spans="1:18" s="22" customFormat="1" ht="14.25" customHeight="1" x14ac:dyDescent="0.25">
      <c r="A57" s="159" t="s">
        <v>153</v>
      </c>
      <c r="B57" s="114"/>
      <c r="C57" s="22" t="s">
        <v>77</v>
      </c>
      <c r="H57" s="103">
        <f>'Technologie parameters'!C28</f>
        <v>87.5</v>
      </c>
      <c r="I57" s="103">
        <f>'Technologie parameters'!D28</f>
        <v>93.5</v>
      </c>
      <c r="J57" s="103">
        <f>'Technologie parameters'!E28</f>
        <v>99.5</v>
      </c>
      <c r="K57" s="103">
        <f>'Technologie parameters'!F28</f>
        <v>105.5</v>
      </c>
      <c r="L57" s="103">
        <f>'Technologie parameters'!G28</f>
        <v>111.5</v>
      </c>
      <c r="M57" s="103">
        <f>'Technologie parameters'!H28</f>
        <v>117.5</v>
      </c>
      <c r="N57" s="103">
        <f>'Technologie parameters'!I28</f>
        <v>123.5</v>
      </c>
      <c r="O57" s="103">
        <f>'Technologie parameters'!J28</f>
        <v>129.5</v>
      </c>
      <c r="P57" s="103">
        <f>'Technologie parameters'!K28</f>
        <v>135.5</v>
      </c>
      <c r="Q57" s="103">
        <f>'Technologie parameters'!L28</f>
        <v>141.5</v>
      </c>
      <c r="R57" s="125"/>
    </row>
    <row r="58" spans="1:18" s="22" customFormat="1" ht="14.25" customHeight="1" x14ac:dyDescent="0.25">
      <c r="A58" s="160" t="s">
        <v>101</v>
      </c>
      <c r="B58" s="114"/>
      <c r="C58" s="22" t="s">
        <v>77</v>
      </c>
      <c r="H58" s="103">
        <f>'Technologie parameters'!C29</f>
        <v>32.618529359275406</v>
      </c>
      <c r="I58" s="103">
        <f>'Technologie parameters'!D29</f>
        <v>44.361199928614553</v>
      </c>
      <c r="J58" s="103">
        <f>'Technologie parameters'!E29</f>
        <v>50.904476918085194</v>
      </c>
      <c r="K58" s="103">
        <f>'Technologie parameters'!F29</f>
        <v>63.460914557879548</v>
      </c>
      <c r="L58" s="103">
        <f>'Technologie parameters'!G29</f>
        <v>64.730132849037133</v>
      </c>
      <c r="M58" s="103">
        <f>'Technologie parameters'!H29</f>
        <v>66.024735506017876</v>
      </c>
      <c r="N58" s="103">
        <f>'Technologie parameters'!I29</f>
        <v>67.345230216138233</v>
      </c>
      <c r="O58" s="103">
        <f>'Technologie parameters'!J29</f>
        <v>68.692134820461007</v>
      </c>
      <c r="P58" s="103">
        <f>'Technologie parameters'!K29</f>
        <v>70.065977516870205</v>
      </c>
      <c r="Q58" s="103">
        <f>'Technologie parameters'!L29</f>
        <v>71.467297067207625</v>
      </c>
      <c r="R58" s="125"/>
    </row>
    <row r="59" spans="1:18" s="22" customFormat="1" ht="14.25" customHeight="1" x14ac:dyDescent="0.25">
      <c r="A59" s="160" t="s">
        <v>154</v>
      </c>
      <c r="B59" s="114"/>
      <c r="C59" s="161"/>
      <c r="D59" s="161"/>
      <c r="E59" s="161"/>
      <c r="F59" s="161"/>
      <c r="G59" s="21"/>
      <c r="H59" s="108">
        <v>0</v>
      </c>
      <c r="I59" s="108">
        <v>0</v>
      </c>
      <c r="J59" s="108">
        <v>0</v>
      </c>
      <c r="K59" s="108">
        <v>0</v>
      </c>
      <c r="L59" s="108">
        <v>0</v>
      </c>
      <c r="M59" s="108">
        <v>0</v>
      </c>
      <c r="N59" s="108">
        <v>0</v>
      </c>
      <c r="O59" s="108">
        <v>0</v>
      </c>
      <c r="P59" s="108">
        <v>0</v>
      </c>
      <c r="Q59" s="108">
        <v>0</v>
      </c>
      <c r="R59" s="125"/>
    </row>
    <row r="60" spans="1:18" s="22" customFormat="1" ht="14.25" customHeight="1" x14ac:dyDescent="0.25">
      <c r="A60" s="160"/>
      <c r="B60" s="162"/>
      <c r="C60" s="161"/>
      <c r="D60" s="161"/>
      <c r="E60" s="161"/>
      <c r="F60" s="161"/>
      <c r="G60" s="272"/>
      <c r="H60" s="272"/>
      <c r="I60" s="272"/>
      <c r="J60" s="272"/>
      <c r="K60" s="272"/>
      <c r="L60" s="272"/>
      <c r="M60" s="272"/>
      <c r="N60" s="272"/>
      <c r="O60" s="272"/>
      <c r="P60" s="272"/>
      <c r="Q60" s="272"/>
      <c r="R60" s="125"/>
    </row>
    <row r="61" spans="1:18" s="22" customFormat="1" ht="14.25" customHeight="1" x14ac:dyDescent="0.25">
      <c r="A61" s="160" t="s">
        <v>155</v>
      </c>
      <c r="B61" s="35"/>
      <c r="C61" s="21" t="s">
        <v>138</v>
      </c>
      <c r="D61" s="100">
        <v>0</v>
      </c>
      <c r="E61" s="100">
        <v>0</v>
      </c>
      <c r="F61" s="100">
        <v>0</v>
      </c>
      <c r="G61" s="100">
        <v>0</v>
      </c>
      <c r="H61" s="100">
        <v>0</v>
      </c>
      <c r="I61" s="100">
        <v>0</v>
      </c>
      <c r="J61" s="100">
        <v>0</v>
      </c>
      <c r="K61" s="100">
        <v>0</v>
      </c>
      <c r="L61" s="100">
        <v>0</v>
      </c>
      <c r="M61" s="100">
        <v>0</v>
      </c>
      <c r="N61" s="100">
        <v>0</v>
      </c>
      <c r="O61" s="100">
        <v>0</v>
      </c>
      <c r="P61" s="100">
        <v>0</v>
      </c>
      <c r="Q61" s="100">
        <v>0</v>
      </c>
      <c r="R61" s="125"/>
    </row>
    <row r="62" spans="1:18" s="22" customFormat="1" ht="14.25" customHeight="1" x14ac:dyDescent="0.25">
      <c r="A62" s="21" t="s">
        <v>156</v>
      </c>
      <c r="B62" s="35"/>
      <c r="C62" s="21" t="s">
        <v>81</v>
      </c>
      <c r="D62" s="139"/>
      <c r="E62" s="139"/>
      <c r="F62" s="139"/>
      <c r="G62" s="139"/>
      <c r="H62" s="109">
        <v>0</v>
      </c>
      <c r="I62" s="109">
        <v>0</v>
      </c>
      <c r="J62" s="109">
        <v>0</v>
      </c>
      <c r="K62" s="109">
        <v>0</v>
      </c>
      <c r="L62" s="109">
        <v>0</v>
      </c>
      <c r="M62" s="109">
        <v>0</v>
      </c>
      <c r="N62" s="109">
        <v>0</v>
      </c>
      <c r="O62" s="109">
        <v>0</v>
      </c>
      <c r="P62" s="109">
        <v>0</v>
      </c>
      <c r="Q62" s="109">
        <v>0</v>
      </c>
      <c r="R62" s="125"/>
    </row>
    <row r="63" spans="1:18" s="22" customFormat="1" ht="14.25" customHeight="1" x14ac:dyDescent="0.25">
      <c r="A63" s="21" t="s">
        <v>157</v>
      </c>
      <c r="B63" s="155"/>
      <c r="C63" s="161" t="s">
        <v>138</v>
      </c>
      <c r="D63" s="100">
        <v>0</v>
      </c>
      <c r="E63" s="100">
        <v>0</v>
      </c>
      <c r="F63" s="100">
        <v>0</v>
      </c>
      <c r="G63" s="100">
        <v>0</v>
      </c>
      <c r="H63" s="100">
        <v>0</v>
      </c>
      <c r="I63" s="100">
        <v>0</v>
      </c>
      <c r="J63" s="100">
        <v>0</v>
      </c>
      <c r="K63" s="100">
        <v>0</v>
      </c>
      <c r="L63" s="100">
        <v>0</v>
      </c>
      <c r="M63" s="100">
        <v>0</v>
      </c>
      <c r="N63" s="100">
        <v>0</v>
      </c>
      <c r="O63" s="100">
        <v>0</v>
      </c>
      <c r="P63" s="100">
        <v>0</v>
      </c>
      <c r="Q63" s="100">
        <v>0</v>
      </c>
      <c r="R63" s="125"/>
    </row>
    <row r="64" spans="1:18" s="22" customFormat="1" ht="14.25" customHeight="1" x14ac:dyDescent="0.25">
      <c r="A64" s="21"/>
      <c r="B64" s="155"/>
      <c r="C64" s="161"/>
      <c r="D64" s="161"/>
      <c r="E64" s="161"/>
      <c r="F64" s="161"/>
      <c r="G64" s="21"/>
      <c r="H64" s="270"/>
      <c r="I64" s="270"/>
      <c r="J64" s="270"/>
      <c r="K64" s="270"/>
      <c r="L64" s="270"/>
      <c r="M64" s="270"/>
      <c r="N64" s="270"/>
      <c r="O64" s="270"/>
      <c r="P64" s="270"/>
      <c r="Q64" s="270"/>
      <c r="R64" s="125"/>
    </row>
    <row r="65" spans="1:19" s="135" customFormat="1" ht="14.25" customHeight="1" x14ac:dyDescent="0.25">
      <c r="A65" s="132" t="s">
        <v>158</v>
      </c>
      <c r="B65" s="133"/>
      <c r="C65" s="132" t="s">
        <v>159</v>
      </c>
      <c r="D65" s="134"/>
      <c r="E65" s="134"/>
      <c r="F65" s="134"/>
      <c r="G65" s="134"/>
      <c r="H65" s="134"/>
      <c r="I65" s="134"/>
      <c r="J65" s="134"/>
      <c r="K65" s="134"/>
      <c r="L65" s="134"/>
      <c r="M65" s="134"/>
      <c r="N65" s="134"/>
      <c r="O65" s="134"/>
      <c r="P65" s="134"/>
      <c r="Q65" s="134"/>
    </row>
    <row r="66" spans="1:19" s="22" customFormat="1" ht="14.25" customHeight="1" x14ac:dyDescent="0.25">
      <c r="C66" s="112" t="s">
        <v>160</v>
      </c>
      <c r="D66" s="161"/>
      <c r="E66" s="161"/>
      <c r="F66" s="161"/>
      <c r="G66" s="21"/>
      <c r="H66" s="273" t="str">
        <f>IFERROR(IF(H56="ETS1",VLOOKUP($B$6,tech_param[],10,FALSE),IF(H56="ETS2",VLOOKUP($B$6,tech_param[],11,FALSE),VLOOKUP($B$6,tech_param[],12,FALSE))),"")</f>
        <v/>
      </c>
      <c r="I66" s="273" t="str">
        <f>IFERROR(IF(I56="ETS1",VLOOKUP($B$6,tech_param[],10,FALSE),IF(I56="ETS2",VLOOKUP($B$6,tech_param[],11,FALSE),VLOOKUP($B$6,tech_param[],12,FALSE))),"")</f>
        <v/>
      </c>
      <c r="J66" s="273" t="str">
        <f>IFERROR(IF(J56="ETS1",VLOOKUP($B$6,tech_param[],10,FALSE),IF(J56="ETS2",VLOOKUP($B$6,tech_param[],11,FALSE),VLOOKUP($B$6,tech_param[],12,FALSE))),"")</f>
        <v/>
      </c>
      <c r="K66" s="273" t="str">
        <f>IFERROR(IF(K56="ETS1",VLOOKUP($B$6,tech_param[],10,FALSE),IF(K56="ETS2",VLOOKUP($B$6,tech_param[],11,FALSE),VLOOKUP($B$6,tech_param[],12,FALSE))),"")</f>
        <v/>
      </c>
      <c r="L66" s="273" t="str">
        <f>IFERROR(IF(L56="ETS1",VLOOKUP($B$6,tech_param[],10,FALSE),IF(L56="ETS2",VLOOKUP($B$6,tech_param[],11,FALSE),VLOOKUP($B$6,tech_param[],12,FALSE))),"")</f>
        <v/>
      </c>
      <c r="M66" s="273" t="str">
        <f>IFERROR(IF(M56="ETS1",VLOOKUP($B$6,tech_param[],10,FALSE),IF(M56="ETS2",VLOOKUP($B$6,tech_param[],11,FALSE),VLOOKUP($B$6,tech_param[],12,FALSE))),"")</f>
        <v/>
      </c>
      <c r="N66" s="273" t="str">
        <f>IFERROR(IF(N56="ETS1",VLOOKUP($B$6,tech_param[],10,FALSE),IF(N56="ETS2",VLOOKUP($B$6,tech_param[],11,FALSE),VLOOKUP($B$6,tech_param[],12,FALSE))),"")</f>
        <v/>
      </c>
      <c r="O66" s="273" t="str">
        <f>IFERROR(IF(O56="ETS1",VLOOKUP($B$6,tech_param[],10,FALSE),IF(O56="ETS2",VLOOKUP($B$6,tech_param[],11,FALSE),VLOOKUP($B$6,tech_param[],12,FALSE))),"")</f>
        <v/>
      </c>
      <c r="P66" s="273" t="str">
        <f>IFERROR(IF(P56="ETS1",VLOOKUP($B$6,tech_param[],10,FALSE),IF(P56="ETS2",VLOOKUP($B$6,tech_param[],11,FALSE),VLOOKUP($B$6,tech_param[],12,FALSE))),"")</f>
        <v/>
      </c>
      <c r="Q66" s="273" t="str">
        <f>IFERROR(IF(Q56="ETS1",VLOOKUP($B$6,tech_param[],10,FALSE),IF(Q56="ETS2",VLOOKUP($B$6,tech_param[],11,FALSE),VLOOKUP($B$6,tech_param[],12,FALSE))),"")</f>
        <v/>
      </c>
      <c r="R66" s="125"/>
    </row>
    <row r="67" spans="1:19" s="22" customFormat="1" ht="14.25" customHeight="1" x14ac:dyDescent="0.25">
      <c r="A67" s="21"/>
      <c r="B67" s="155"/>
      <c r="C67" s="161"/>
      <c r="D67" s="161"/>
      <c r="E67" s="161"/>
      <c r="F67" s="161"/>
      <c r="G67" s="21"/>
      <c r="H67" s="272"/>
      <c r="I67" s="272"/>
      <c r="J67" s="272"/>
      <c r="K67" s="272"/>
      <c r="L67" s="272"/>
      <c r="M67" s="272"/>
      <c r="N67" s="272"/>
      <c r="O67" s="272"/>
      <c r="P67" s="272"/>
      <c r="Q67" s="272"/>
      <c r="R67" s="125"/>
    </row>
    <row r="68" spans="1:19" s="135" customFormat="1" ht="14.25" customHeight="1" x14ac:dyDescent="0.25">
      <c r="A68" s="132" t="s">
        <v>161</v>
      </c>
      <c r="B68" s="133" t="s">
        <v>18</v>
      </c>
      <c r="C68" s="132" t="s">
        <v>159</v>
      </c>
      <c r="D68" s="134"/>
      <c r="E68" s="134"/>
      <c r="F68" s="134"/>
      <c r="G68" s="134"/>
      <c r="H68" s="134"/>
      <c r="I68" s="134"/>
      <c r="J68" s="134"/>
      <c r="K68" s="134"/>
      <c r="L68" s="134"/>
      <c r="M68" s="134"/>
      <c r="N68" s="134"/>
      <c r="O68" s="134"/>
      <c r="P68" s="134"/>
      <c r="Q68" s="134"/>
    </row>
    <row r="69" spans="1:19" s="22" customFormat="1" ht="14.25" customHeight="1" x14ac:dyDescent="0.25">
      <c r="A69" s="22" t="s">
        <v>162</v>
      </c>
      <c r="B69" s="157">
        <f>'Algemene parameters'!$B$15</f>
        <v>0.22487999999999997</v>
      </c>
      <c r="C69" s="22" t="s">
        <v>163</v>
      </c>
      <c r="H69" s="125"/>
      <c r="I69" s="274"/>
      <c r="J69" s="125"/>
      <c r="K69" s="125"/>
      <c r="L69" s="125"/>
      <c r="M69" s="125"/>
      <c r="N69" s="125"/>
      <c r="O69" s="125"/>
      <c r="P69" s="125"/>
      <c r="Q69" s="125"/>
      <c r="R69" s="275"/>
    </row>
    <row r="70" spans="1:19" s="22" customFormat="1" ht="14.25" customHeight="1" x14ac:dyDescent="0.25">
      <c r="A70" s="22" t="s">
        <v>164</v>
      </c>
      <c r="B70" s="157" t="str">
        <f>IFERROR(_xlfn.XLOOKUP($B$7,tech_param[ID],tech_param[Emissiefactor elektriciteit]),"")</f>
        <v/>
      </c>
      <c r="C70" s="22" t="s">
        <v>165</v>
      </c>
      <c r="I70" s="125"/>
      <c r="J70" s="275"/>
      <c r="K70" s="275"/>
      <c r="L70" s="275"/>
      <c r="M70" s="275"/>
      <c r="N70" s="275"/>
      <c r="O70" s="275"/>
      <c r="P70" s="275"/>
      <c r="Q70" s="275"/>
      <c r="R70" s="167"/>
    </row>
    <row r="71" spans="1:19" s="22" customFormat="1" ht="14.25" customHeight="1" x14ac:dyDescent="0.25">
      <c r="A71" s="112" t="s">
        <v>166</v>
      </c>
      <c r="B71" s="31" t="str">
        <f>IFERROR($B$69-$B$70/(IF($B$7=1,$B$23,B24)),"")</f>
        <v/>
      </c>
      <c r="C71" s="22" t="s">
        <v>163</v>
      </c>
      <c r="H71" s="31" t="str">
        <f t="shared" ref="H71:Q71" si="9">IFERROR($B$69-$B$70/(IF($B$7=1,$B$23,H24)),"")</f>
        <v/>
      </c>
      <c r="I71" s="31" t="str">
        <f t="shared" si="9"/>
        <v/>
      </c>
      <c r="J71" s="31" t="str">
        <f t="shared" si="9"/>
        <v/>
      </c>
      <c r="K71" s="31" t="str">
        <f t="shared" si="9"/>
        <v/>
      </c>
      <c r="L71" s="31" t="str">
        <f t="shared" si="9"/>
        <v/>
      </c>
      <c r="M71" s="31" t="str">
        <f t="shared" si="9"/>
        <v/>
      </c>
      <c r="N71" s="31" t="str">
        <f t="shared" si="9"/>
        <v/>
      </c>
      <c r="O71" s="31" t="str">
        <f t="shared" si="9"/>
        <v/>
      </c>
      <c r="P71" s="31" t="str">
        <f t="shared" si="9"/>
        <v/>
      </c>
      <c r="Q71" s="31" t="str">
        <f t="shared" si="9"/>
        <v/>
      </c>
      <c r="R71" s="125"/>
    </row>
    <row r="72" spans="1:19" s="22" customFormat="1" ht="14.25" customHeight="1" x14ac:dyDescent="0.25">
      <c r="H72" s="125"/>
      <c r="I72" s="125"/>
      <c r="J72" s="125"/>
      <c r="K72" s="125"/>
      <c r="L72" s="125"/>
      <c r="M72" s="125"/>
      <c r="N72" s="125"/>
      <c r="O72" s="125"/>
      <c r="P72" s="125"/>
      <c r="Q72" s="125"/>
      <c r="R72" s="125"/>
    </row>
    <row r="73" spans="1:19" s="135" customFormat="1" ht="14.25" customHeight="1" x14ac:dyDescent="0.25">
      <c r="A73" s="132" t="s">
        <v>36</v>
      </c>
      <c r="B73" s="133" t="s">
        <v>18</v>
      </c>
      <c r="C73" s="132" t="s">
        <v>19</v>
      </c>
      <c r="D73" s="134"/>
      <c r="E73" s="134"/>
      <c r="F73" s="134"/>
      <c r="G73" s="134"/>
      <c r="H73" s="134"/>
      <c r="I73" s="134"/>
      <c r="J73" s="134"/>
      <c r="K73" s="134"/>
      <c r="L73" s="134"/>
      <c r="M73" s="134"/>
      <c r="N73" s="134"/>
      <c r="O73" s="134"/>
      <c r="P73" s="134"/>
      <c r="Q73" s="134"/>
    </row>
    <row r="74" spans="1:19" s="22" customFormat="1" ht="14.25" customHeight="1" x14ac:dyDescent="0.25">
      <c r="A74" s="22" t="s">
        <v>60</v>
      </c>
      <c r="B74" s="168" t="str">
        <f>IFERROR(_xlfn.XLOOKUP($B$7,tech_param[ID],tech_param[Economische levensduur]),"")</f>
        <v/>
      </c>
      <c r="C74" s="22" t="s">
        <v>38</v>
      </c>
      <c r="H74" s="125"/>
      <c r="I74" s="125"/>
      <c r="J74" s="125"/>
      <c r="K74" s="125"/>
      <c r="L74" s="125"/>
      <c r="M74" s="125"/>
      <c r="N74" s="125"/>
      <c r="O74" s="125"/>
      <c r="P74" s="125"/>
      <c r="Q74" s="125"/>
      <c r="R74" s="125"/>
    </row>
    <row r="75" spans="1:19" s="22" customFormat="1" ht="14.25" customHeight="1" x14ac:dyDescent="0.25">
      <c r="A75" s="22" t="s">
        <v>37</v>
      </c>
      <c r="B75" s="168">
        <v>10</v>
      </c>
      <c r="C75" s="22" t="s">
        <v>38</v>
      </c>
      <c r="H75" s="125"/>
      <c r="I75" s="125"/>
      <c r="J75" s="125"/>
      <c r="K75" s="125"/>
      <c r="L75" s="125"/>
      <c r="M75" s="125"/>
      <c r="N75" s="125"/>
      <c r="O75" s="125"/>
      <c r="P75" s="125"/>
      <c r="Q75" s="125"/>
      <c r="R75" s="125"/>
    </row>
    <row r="76" spans="1:19" s="22" customFormat="1" ht="14.25" customHeight="1" x14ac:dyDescent="0.25">
      <c r="A76" s="22" t="s">
        <v>167</v>
      </c>
      <c r="B76" s="168">
        <v>10</v>
      </c>
      <c r="C76" s="22" t="s">
        <v>38</v>
      </c>
      <c r="H76" s="125"/>
      <c r="I76" s="125"/>
      <c r="J76" s="125"/>
      <c r="K76" s="125"/>
      <c r="L76" s="125"/>
      <c r="M76" s="125"/>
      <c r="N76" s="125"/>
      <c r="O76" s="125"/>
      <c r="P76" s="125"/>
      <c r="Q76" s="125"/>
      <c r="R76" s="125"/>
    </row>
    <row r="77" spans="1:19" s="22" customFormat="1" ht="14.25" customHeight="1" x14ac:dyDescent="0.25">
      <c r="A77" s="22" t="s">
        <v>39</v>
      </c>
      <c r="B77" s="169">
        <f>'Algemene parameters'!B26</f>
        <v>0.02</v>
      </c>
      <c r="H77" s="125"/>
      <c r="I77" s="125"/>
      <c r="J77" s="125"/>
      <c r="K77" s="125"/>
      <c r="L77" s="125"/>
      <c r="M77" s="125"/>
      <c r="N77" s="125"/>
      <c r="O77" s="125"/>
      <c r="P77" s="125"/>
      <c r="Q77" s="125"/>
      <c r="R77" s="125"/>
      <c r="S77" s="112"/>
    </row>
    <row r="78" spans="1:19" s="22" customFormat="1" ht="14.25" customHeight="1" x14ac:dyDescent="0.25">
      <c r="A78" s="22" t="s">
        <v>41</v>
      </c>
      <c r="B78" s="169">
        <f>'Algemene parameters'!B27</f>
        <v>5.7500000000000002E-2</v>
      </c>
      <c r="H78" s="125"/>
      <c r="I78" s="272"/>
      <c r="J78" s="272"/>
      <c r="K78" s="272"/>
      <c r="L78" s="272"/>
      <c r="M78" s="272"/>
      <c r="N78" s="272"/>
      <c r="O78" s="272"/>
      <c r="P78" s="272"/>
      <c r="Q78" s="272"/>
      <c r="R78" s="125"/>
    </row>
    <row r="79" spans="1:19" s="22" customFormat="1" ht="14.25" customHeight="1" x14ac:dyDescent="0.25">
      <c r="A79" s="22" t="s">
        <v>43</v>
      </c>
      <c r="B79" s="169">
        <v>0.12</v>
      </c>
      <c r="C79" s="271"/>
      <c r="H79" s="125"/>
      <c r="I79" s="125"/>
      <c r="J79" s="125"/>
      <c r="K79" s="125"/>
      <c r="L79" s="125"/>
      <c r="M79" s="125"/>
      <c r="N79" s="125"/>
      <c r="O79" s="125"/>
      <c r="P79" s="125"/>
      <c r="Q79" s="125"/>
      <c r="R79" s="125"/>
    </row>
    <row r="80" spans="1:19" s="22" customFormat="1" ht="14.25" customHeight="1" x14ac:dyDescent="0.25">
      <c r="A80" s="22" t="s">
        <v>45</v>
      </c>
      <c r="B80" s="170">
        <f>'Algemene parameters'!B29</f>
        <v>0.58200000000000007</v>
      </c>
      <c r="H80" s="125"/>
      <c r="I80" s="125"/>
      <c r="J80" s="125"/>
      <c r="K80" s="125"/>
      <c r="L80" s="125"/>
      <c r="M80" s="125"/>
      <c r="N80" s="125"/>
      <c r="O80" s="125"/>
      <c r="P80" s="125"/>
      <c r="Q80" s="125"/>
      <c r="R80" s="125"/>
    </row>
    <row r="81" spans="1:18" s="22" customFormat="1" ht="14.25" customHeight="1" x14ac:dyDescent="0.25">
      <c r="A81" s="22" t="s">
        <v>47</v>
      </c>
      <c r="B81" s="170">
        <f>'Algemene parameters'!B30</f>
        <v>0.41799999999999998</v>
      </c>
      <c r="H81" s="125"/>
      <c r="I81" s="125"/>
      <c r="J81" s="125"/>
      <c r="K81" s="125"/>
      <c r="L81" s="125"/>
      <c r="M81" s="125"/>
      <c r="N81" s="125"/>
      <c r="O81" s="125"/>
      <c r="P81" s="125"/>
      <c r="Q81" s="125"/>
      <c r="R81" s="125"/>
    </row>
    <row r="82" spans="1:18" s="22" customFormat="1" ht="14.25" customHeight="1" x14ac:dyDescent="0.25">
      <c r="A82" s="22" t="s">
        <v>48</v>
      </c>
      <c r="B82" s="171">
        <f>'Algemene parameters'!B31</f>
        <v>0.25</v>
      </c>
      <c r="D82" s="35"/>
      <c r="E82" s="35"/>
      <c r="F82" s="35"/>
      <c r="G82" s="155"/>
      <c r="H82" s="110">
        <f t="shared" ref="H82:Q82" si="10">$B$82</f>
        <v>0.25</v>
      </c>
      <c r="I82" s="110">
        <f t="shared" si="10"/>
        <v>0.25</v>
      </c>
      <c r="J82" s="110">
        <f t="shared" si="10"/>
        <v>0.25</v>
      </c>
      <c r="K82" s="110">
        <f t="shared" si="10"/>
        <v>0.25</v>
      </c>
      <c r="L82" s="110">
        <f t="shared" si="10"/>
        <v>0.25</v>
      </c>
      <c r="M82" s="110">
        <f t="shared" si="10"/>
        <v>0.25</v>
      </c>
      <c r="N82" s="110">
        <f t="shared" si="10"/>
        <v>0.25</v>
      </c>
      <c r="O82" s="110">
        <f t="shared" si="10"/>
        <v>0.25</v>
      </c>
      <c r="P82" s="110">
        <f t="shared" si="10"/>
        <v>0.25</v>
      </c>
      <c r="Q82" s="110">
        <f t="shared" si="10"/>
        <v>0.25</v>
      </c>
    </row>
    <row r="83" spans="1:18" s="22" customFormat="1" ht="14.25" customHeight="1" x14ac:dyDescent="0.25">
      <c r="A83" s="22" t="s">
        <v>49</v>
      </c>
      <c r="B83" s="34">
        <f>($B$81*$B$79)+(($B$80*$B$78)*(1-B82))</f>
        <v>7.5258749999999999E-2</v>
      </c>
      <c r="D83" s="34">
        <f>E83</f>
        <v>7.5258749999999999E-2</v>
      </c>
      <c r="E83" s="34">
        <f>F83</f>
        <v>7.5258749999999999E-2</v>
      </c>
      <c r="F83" s="34">
        <f>G83</f>
        <v>7.5258749999999999E-2</v>
      </c>
      <c r="G83" s="172">
        <f>H83</f>
        <v>7.5258749999999999E-2</v>
      </c>
      <c r="H83" s="172">
        <f t="shared" ref="H83:Q83" si="11">($B$81*$B$79)+(($B$80*$B$78)*(1-H82))</f>
        <v>7.5258749999999999E-2</v>
      </c>
      <c r="I83" s="172">
        <f t="shared" si="11"/>
        <v>7.5258749999999999E-2</v>
      </c>
      <c r="J83" s="172">
        <f t="shared" si="11"/>
        <v>7.5258749999999999E-2</v>
      </c>
      <c r="K83" s="172">
        <f t="shared" si="11"/>
        <v>7.5258749999999999E-2</v>
      </c>
      <c r="L83" s="172">
        <f t="shared" si="11"/>
        <v>7.5258749999999999E-2</v>
      </c>
      <c r="M83" s="172">
        <f t="shared" si="11"/>
        <v>7.5258749999999999E-2</v>
      </c>
      <c r="N83" s="172">
        <f t="shared" si="11"/>
        <v>7.5258749999999999E-2</v>
      </c>
      <c r="O83" s="172">
        <f t="shared" si="11"/>
        <v>7.5258749999999999E-2</v>
      </c>
      <c r="P83" s="172">
        <f t="shared" si="11"/>
        <v>7.5258749999999999E-2</v>
      </c>
      <c r="Q83" s="172">
        <f t="shared" si="11"/>
        <v>7.5258749999999999E-2</v>
      </c>
    </row>
    <row r="84" spans="1:18" s="22" customFormat="1" ht="14.25" customHeight="1" x14ac:dyDescent="0.25">
      <c r="A84" s="159" t="s">
        <v>106</v>
      </c>
      <c r="B84" s="35"/>
      <c r="C84" s="21"/>
      <c r="D84" s="155"/>
      <c r="E84" s="155"/>
      <c r="F84" s="155"/>
      <c r="G84" s="172"/>
      <c r="H84" s="111">
        <v>4.4499999999999998E-2</v>
      </c>
      <c r="I84" s="111">
        <v>4.4499999999999998E-2</v>
      </c>
      <c r="J84" s="111">
        <v>4.4499999999999998E-2</v>
      </c>
      <c r="K84" s="111">
        <v>4.4499999999999998E-2</v>
      </c>
      <c r="L84" s="111">
        <v>4.4499999999999998E-2</v>
      </c>
      <c r="M84" s="111">
        <v>4.4499999999999998E-2</v>
      </c>
      <c r="N84" s="111">
        <v>4.4499999999999998E-2</v>
      </c>
      <c r="O84" s="111">
        <v>4.4499999999999998E-2</v>
      </c>
      <c r="P84" s="111">
        <v>4.4499999999999998E-2</v>
      </c>
      <c r="Q84" s="111">
        <v>4.4499999999999998E-2</v>
      </c>
      <c r="R84" s="125"/>
    </row>
    <row r="85" spans="1:18" s="22" customFormat="1" ht="14.25" customHeight="1" x14ac:dyDescent="0.25">
      <c r="B85" s="35"/>
      <c r="C85" s="21"/>
      <c r="D85" s="21"/>
      <c r="E85" s="21"/>
      <c r="F85" s="21"/>
      <c r="G85" s="276"/>
      <c r="H85" s="276"/>
      <c r="I85" s="276"/>
      <c r="J85" s="276"/>
      <c r="K85" s="276"/>
      <c r="L85" s="276"/>
      <c r="M85" s="276"/>
      <c r="N85" s="276"/>
      <c r="O85" s="276"/>
      <c r="P85" s="276"/>
      <c r="Q85" s="276"/>
      <c r="R85" s="125"/>
    </row>
    <row r="86" spans="1:18" s="22" customFormat="1" ht="14.25" customHeight="1" x14ac:dyDescent="0.25">
      <c r="B86" s="141"/>
      <c r="H86" s="125"/>
      <c r="I86" s="125"/>
      <c r="J86" s="125"/>
      <c r="K86" s="125"/>
      <c r="L86" s="125"/>
      <c r="M86" s="125"/>
      <c r="N86" s="125"/>
      <c r="O86" s="125"/>
      <c r="P86" s="125"/>
      <c r="Q86" s="125"/>
    </row>
    <row r="87" spans="1:18" s="22" customFormat="1" ht="14.25" customHeight="1" x14ac:dyDescent="0.25">
      <c r="A87" s="299" t="s">
        <v>168</v>
      </c>
      <c r="B87" s="35"/>
      <c r="C87" s="125"/>
      <c r="D87" s="125"/>
      <c r="E87" s="125"/>
      <c r="F87" s="125"/>
      <c r="G87" s="125"/>
      <c r="H87" s="174">
        <f t="shared" ref="H87:Q87" ca="1" si="12">IFERROR(H126,"")</f>
        <v>0</v>
      </c>
      <c r="I87" s="174">
        <f t="shared" ca="1" si="12"/>
        <v>0</v>
      </c>
      <c r="J87" s="174">
        <f t="shared" ca="1" si="12"/>
        <v>0</v>
      </c>
      <c r="K87" s="174">
        <f t="shared" ca="1" si="12"/>
        <v>0</v>
      </c>
      <c r="L87" s="174">
        <f t="shared" ca="1" si="12"/>
        <v>0</v>
      </c>
      <c r="M87" s="174">
        <f t="shared" ca="1" si="12"/>
        <v>0</v>
      </c>
      <c r="N87" s="174">
        <f t="shared" ca="1" si="12"/>
        <v>0</v>
      </c>
      <c r="O87" s="174">
        <f t="shared" ca="1" si="12"/>
        <v>0</v>
      </c>
      <c r="P87" s="174">
        <f t="shared" ca="1" si="12"/>
        <v>0</v>
      </c>
      <c r="Q87" s="174">
        <f t="shared" ca="1" si="12"/>
        <v>0</v>
      </c>
    </row>
    <row r="88" spans="1:18" s="22" customFormat="1" ht="14.25" customHeight="1" x14ac:dyDescent="0.25">
      <c r="A88" s="300"/>
      <c r="B88" s="35"/>
      <c r="C88" s="125"/>
      <c r="D88" s="125"/>
      <c r="E88" s="125"/>
      <c r="F88" s="125"/>
      <c r="G88" s="125"/>
      <c r="H88" s="126"/>
      <c r="I88" s="125"/>
      <c r="J88" s="125"/>
      <c r="K88" s="125"/>
      <c r="L88" s="125"/>
      <c r="M88" s="125"/>
      <c r="N88" s="125"/>
      <c r="O88" s="125"/>
      <c r="P88" s="125"/>
      <c r="Q88" s="125"/>
    </row>
    <row r="89" spans="1:18" s="22" customFormat="1" ht="14.25" customHeight="1" x14ac:dyDescent="0.25">
      <c r="B89" s="35"/>
    </row>
    <row r="90" spans="1:18" s="12" customFormat="1" ht="14.25" customHeight="1" x14ac:dyDescent="0.25">
      <c r="B90" s="32"/>
      <c r="C90" s="175"/>
      <c r="D90" s="175"/>
      <c r="E90" s="175"/>
      <c r="F90" s="175"/>
      <c r="G90" s="175"/>
      <c r="H90" s="176"/>
      <c r="I90" s="175"/>
      <c r="J90" s="175"/>
      <c r="K90" s="175"/>
      <c r="L90" s="175"/>
      <c r="M90" s="175"/>
      <c r="N90" s="175"/>
      <c r="O90" s="175"/>
      <c r="P90" s="175"/>
      <c r="Q90" s="175"/>
    </row>
    <row r="91" spans="1:18" s="12" customFormat="1" ht="14.25" customHeight="1" x14ac:dyDescent="0.25">
      <c r="B91" s="32"/>
      <c r="C91" s="175"/>
      <c r="D91" s="175"/>
      <c r="E91" s="175"/>
      <c r="F91" s="175"/>
      <c r="G91" s="175"/>
      <c r="H91" s="176"/>
      <c r="I91" s="175"/>
      <c r="J91" s="175"/>
      <c r="K91" s="175"/>
      <c r="L91" s="175"/>
      <c r="M91" s="175"/>
      <c r="N91" s="175"/>
      <c r="O91" s="175"/>
      <c r="P91" s="175"/>
      <c r="Q91" s="175"/>
    </row>
    <row r="92" spans="1:18" s="32" customFormat="1" ht="14.25" customHeight="1" x14ac:dyDescent="0.25">
      <c r="A92" s="177"/>
      <c r="C92" s="12"/>
      <c r="D92" s="12"/>
      <c r="E92" s="12"/>
      <c r="F92" s="12"/>
      <c r="G92" s="175"/>
      <c r="H92" s="178"/>
      <c r="I92" s="178"/>
      <c r="J92" s="178"/>
      <c r="K92" s="178"/>
      <c r="L92" s="178"/>
      <c r="M92" s="178"/>
      <c r="N92" s="178"/>
      <c r="O92" s="178"/>
      <c r="P92" s="178"/>
      <c r="Q92" s="178"/>
    </row>
    <row r="93" spans="1:18" s="15" customFormat="1" ht="14.25" customHeight="1" x14ac:dyDescent="0.25">
      <c r="A93" s="13" t="s">
        <v>169</v>
      </c>
      <c r="B93" s="13"/>
      <c r="C93" s="13"/>
      <c r="D93" s="13"/>
      <c r="E93" s="13"/>
      <c r="F93" s="13"/>
      <c r="G93" s="13"/>
      <c r="H93" s="13"/>
      <c r="I93" s="13"/>
      <c r="J93" s="13"/>
    </row>
    <row r="94" spans="1:18" s="22" customFormat="1" ht="14.25" customHeight="1" x14ac:dyDescent="0.25">
      <c r="A94" s="290" t="s">
        <v>117</v>
      </c>
      <c r="B94" s="291"/>
      <c r="C94" s="291"/>
      <c r="D94" s="291"/>
      <c r="E94" s="291"/>
      <c r="F94" s="291"/>
      <c r="G94" s="291"/>
      <c r="H94" s="291"/>
      <c r="I94" s="291"/>
      <c r="J94" s="291"/>
      <c r="K94" s="291"/>
      <c r="L94" s="291"/>
      <c r="M94" s="291"/>
      <c r="N94" s="294"/>
      <c r="O94" s="294"/>
      <c r="P94" s="294"/>
      <c r="Q94" s="294"/>
    </row>
    <row r="95" spans="1:18" s="112" customFormat="1" ht="14.25" customHeight="1" x14ac:dyDescent="0.25">
      <c r="A95" s="22"/>
      <c r="B95" s="35"/>
      <c r="C95" s="22"/>
      <c r="D95" s="22"/>
      <c r="E95" s="22"/>
      <c r="F95" s="22"/>
      <c r="G95" s="22"/>
      <c r="H95" s="22"/>
      <c r="I95" s="22"/>
      <c r="J95" s="22"/>
      <c r="K95" s="22"/>
      <c r="L95" s="22"/>
      <c r="M95" s="22"/>
      <c r="N95" s="22"/>
      <c r="O95" s="22"/>
      <c r="P95" s="22"/>
      <c r="Q95" s="22"/>
    </row>
    <row r="96" spans="1:18" s="112" customFormat="1" ht="14.25" customHeight="1" x14ac:dyDescent="0.25">
      <c r="A96" s="179" t="s">
        <v>170</v>
      </c>
      <c r="B96" s="179"/>
      <c r="C96" s="180"/>
      <c r="D96" s="180">
        <v>-4</v>
      </c>
      <c r="E96" s="180">
        <v>-3</v>
      </c>
      <c r="F96" s="180">
        <v>-2</v>
      </c>
      <c r="G96" s="180">
        <v>-1</v>
      </c>
      <c r="H96" s="180">
        <v>1</v>
      </c>
      <c r="I96" s="180">
        <v>2</v>
      </c>
      <c r="J96" s="180">
        <v>3</v>
      </c>
      <c r="K96" s="180">
        <v>4</v>
      </c>
      <c r="L96" s="180">
        <v>5</v>
      </c>
      <c r="M96" s="180">
        <v>6</v>
      </c>
      <c r="N96" s="180">
        <v>7</v>
      </c>
      <c r="O96" s="180">
        <v>8</v>
      </c>
      <c r="P96" s="180">
        <v>9</v>
      </c>
      <c r="Q96" s="180">
        <v>10</v>
      </c>
    </row>
    <row r="97" spans="1:17" s="153" customFormat="1" ht="14.25" customHeight="1" x14ac:dyDescent="0.25">
      <c r="A97" s="181" t="s">
        <v>171</v>
      </c>
      <c r="B97" s="155"/>
      <c r="C97" s="182"/>
      <c r="D97" s="182"/>
      <c r="E97" s="182"/>
      <c r="F97" s="182"/>
      <c r="G97" s="182"/>
      <c r="H97" s="182">
        <f t="shared" ref="H97:Q97" si="13">POWER(1+$B$77,H96-$H$96)</f>
        <v>1</v>
      </c>
      <c r="I97" s="182">
        <f t="shared" si="13"/>
        <v>1.02</v>
      </c>
      <c r="J97" s="182">
        <f t="shared" si="13"/>
        <v>1.0404</v>
      </c>
      <c r="K97" s="182">
        <f t="shared" si="13"/>
        <v>1.0612079999999999</v>
      </c>
      <c r="L97" s="182">
        <f t="shared" si="13"/>
        <v>1.08243216</v>
      </c>
      <c r="M97" s="182">
        <f t="shared" si="13"/>
        <v>1.1040808032</v>
      </c>
      <c r="N97" s="182">
        <f t="shared" si="13"/>
        <v>1.1261624192640001</v>
      </c>
      <c r="O97" s="182">
        <f t="shared" si="13"/>
        <v>1.1486856676492798</v>
      </c>
      <c r="P97" s="182">
        <f t="shared" si="13"/>
        <v>1.1716593810022655</v>
      </c>
      <c r="Q97" s="182">
        <f t="shared" si="13"/>
        <v>1.1950925686223108</v>
      </c>
    </row>
    <row r="98" spans="1:17" s="183" customFormat="1" ht="14.25" customHeight="1" x14ac:dyDescent="0.25">
      <c r="B98" s="184"/>
      <c r="C98" s="185"/>
      <c r="D98" s="185"/>
      <c r="E98" s="185"/>
      <c r="F98" s="185"/>
      <c r="G98" s="185"/>
      <c r="H98" s="186"/>
      <c r="I98" s="185"/>
      <c r="J98" s="185"/>
      <c r="K98" s="185"/>
      <c r="L98" s="185"/>
      <c r="M98" s="185"/>
      <c r="N98" s="185"/>
      <c r="O98" s="185"/>
      <c r="P98" s="185"/>
      <c r="Q98" s="185"/>
    </row>
    <row r="99" spans="1:17" s="21" customFormat="1" ht="14.25" customHeight="1" x14ac:dyDescent="0.25">
      <c r="A99" s="181" t="s">
        <v>172</v>
      </c>
      <c r="B99" s="155"/>
      <c r="C99" s="132" t="s">
        <v>159</v>
      </c>
      <c r="D99" s="155"/>
      <c r="E99" s="155"/>
      <c r="F99" s="155"/>
      <c r="G99" s="155"/>
      <c r="H99" s="155"/>
      <c r="I99" s="155"/>
      <c r="J99" s="155"/>
      <c r="K99" s="155"/>
      <c r="L99" s="155"/>
      <c r="M99" s="155"/>
      <c r="N99" s="155"/>
      <c r="O99" s="155"/>
      <c r="P99" s="155"/>
      <c r="Q99" s="155"/>
    </row>
    <row r="100" spans="1:17" s="183" customFormat="1" ht="14.25" customHeight="1" x14ac:dyDescent="0.25">
      <c r="A100" s="187" t="s">
        <v>173</v>
      </c>
      <c r="B100" s="187"/>
      <c r="C100" s="187"/>
      <c r="D100" s="187"/>
      <c r="E100" s="187"/>
      <c r="F100" s="187"/>
      <c r="G100" s="187"/>
      <c r="H100" s="187"/>
      <c r="I100" s="187"/>
      <c r="J100" s="187"/>
      <c r="K100" s="187"/>
      <c r="L100" s="187"/>
      <c r="M100" s="187"/>
      <c r="N100" s="187"/>
      <c r="O100" s="187"/>
      <c r="P100" s="187"/>
      <c r="Q100" s="187"/>
    </row>
    <row r="101" spans="1:17" s="183" customFormat="1" ht="14.25" customHeight="1" x14ac:dyDescent="0.35">
      <c r="A101" s="183" t="s">
        <v>174</v>
      </c>
      <c r="B101" s="188"/>
      <c r="C101" s="183" t="s">
        <v>175</v>
      </c>
      <c r="H101" s="189">
        <f>H53*35.17/31.65/'Algemene parameters'!$B$14</f>
        <v>3.8209340025744574E-2</v>
      </c>
      <c r="I101" s="189">
        <f>I53*35.17/31.65/'Algemene parameters'!$B$14</f>
        <v>3.8234835016502329E-2</v>
      </c>
      <c r="J101" s="189">
        <f>J53*35.17/31.65/'Algemene parameters'!$B$14</f>
        <v>3.8260839907075253E-2</v>
      </c>
      <c r="K101" s="189">
        <f>K53*35.17/31.65/'Algemene parameters'!$B$14</f>
        <v>3.8287364895459634E-2</v>
      </c>
      <c r="L101" s="189">
        <f>L53*35.17/31.65/'Algemene parameters'!$B$14</f>
        <v>3.875051554840804E-2</v>
      </c>
      <c r="M101" s="189">
        <f>M53*35.17/31.65/'Algemene parameters'!$B$14</f>
        <v>3.9062552992586222E-2</v>
      </c>
      <c r="N101" s="189">
        <f>N53*35.17/31.65/'Algemene parameters'!$B$14</f>
        <v>3.9528982503020817E-2</v>
      </c>
      <c r="O101" s="189">
        <f>O53*35.17/31.65/'Algemene parameters'!$B$14</f>
        <v>3.9837885182472971E-2</v>
      </c>
      <c r="P101" s="189">
        <f>P53*35.17/31.65/'Algemene parameters'!$B$14</f>
        <v>4.0634642886122334E-2</v>
      </c>
      <c r="Q101" s="189">
        <f>Q53*35.17/31.65/'Algemene parameters'!$B$14</f>
        <v>4.1447335743844842E-2</v>
      </c>
    </row>
    <row r="102" spans="1:17" s="183" customFormat="1" ht="14.25" customHeight="1" x14ac:dyDescent="0.25">
      <c r="A102" s="187" t="s">
        <v>176</v>
      </c>
      <c r="B102" s="187"/>
      <c r="C102" s="187"/>
      <c r="D102" s="187"/>
      <c r="E102" s="187"/>
      <c r="F102" s="187"/>
      <c r="G102" s="187"/>
      <c r="H102" s="190"/>
      <c r="I102" s="190"/>
      <c r="J102" s="190"/>
      <c r="K102" s="190"/>
      <c r="L102" s="190"/>
      <c r="M102" s="190"/>
      <c r="N102" s="190"/>
      <c r="O102" s="190"/>
      <c r="P102" s="190"/>
      <c r="Q102" s="190"/>
    </row>
    <row r="103" spans="1:17" s="183" customFormat="1" ht="14.25" customHeight="1" x14ac:dyDescent="0.35">
      <c r="A103" s="183" t="s">
        <v>177</v>
      </c>
      <c r="B103" s="191"/>
      <c r="C103" s="183" t="s">
        <v>175</v>
      </c>
      <c r="H103" s="192" cm="1">
        <f t="array" ref="H103">_xlfn.IFS(H56="ETS1",(MIN(H57,'Algemene parameters'!$B$10)/1000*'Algemene parameters'!$B$12*0.0036/'Algemene parameters'!$B$14),H56="ETS2",(MIN(H58,'Algemene parameters'!$B$11)/1000*'Algemene parameters'!$B$12*0.0036/'Algemene parameters'!$B$14),TRUE,0)</f>
        <v>1.9677E-2</v>
      </c>
      <c r="I103" s="192" cm="1">
        <f t="array" ref="I103">_xlfn.IFS(I56="ETS1",(MIN(I57,'Algemene parameters'!$B$10)/1000*'Algemene parameters'!$B$12*0.0036/'Algemene parameters'!$B$14),I56="ETS2",(MIN(I58,'Algemene parameters'!$B$11)/1000*'Algemene parameters'!$B$12*0.0036/'Algemene parameters'!$B$14),TRUE,0)</f>
        <v>2.1026279999999998E-2</v>
      </c>
      <c r="J103" s="192" cm="1">
        <f t="array" ref="J103">_xlfn.IFS(J56="ETS1",(MIN(J57,'Algemene parameters'!$B$10)/1000*'Algemene parameters'!$B$12*0.0036/'Algemene parameters'!$B$14),J56="ETS2",(MIN(J58,'Algemene parameters'!$B$11)/1000*'Algemene parameters'!$B$12*0.0036/'Algemene parameters'!$B$14),TRUE,0)</f>
        <v>2.2375559999999999E-2</v>
      </c>
      <c r="K103" s="192" cm="1">
        <f t="array" ref="K103">_xlfn.IFS(K56="ETS1",(MIN(K57,'Algemene parameters'!$B$10)/1000*'Algemene parameters'!$B$12*0.0036/'Algemene parameters'!$B$14),K56="ETS2",(MIN(K58,'Algemene parameters'!$B$11)/1000*'Algemene parameters'!$B$12*0.0036/'Algemene parameters'!$B$14),TRUE,0)</f>
        <v>2.3724839999999997E-2</v>
      </c>
      <c r="L103" s="192" cm="1">
        <f t="array" ref="L103">_xlfn.IFS(L56="ETS1",(MIN(L57,'Algemene parameters'!$B$10)/1000*'Algemene parameters'!$B$12*0.0036/'Algemene parameters'!$B$14),L56="ETS2",(MIN(L58,'Algemene parameters'!$B$11)/1000*'Algemene parameters'!$B$12*0.0036/'Algemene parameters'!$B$14),TRUE,0)</f>
        <v>2.5074120000000002E-2</v>
      </c>
      <c r="M103" s="192" cm="1">
        <f t="array" ref="M103">_xlfn.IFS(M56="ETS1",(MIN(M57,'Algemene parameters'!$B$10)/1000*'Algemene parameters'!$B$12*0.0036/'Algemene parameters'!$B$14),M56="ETS2",(MIN(M58,'Algemene parameters'!$B$11)/1000*'Algemene parameters'!$B$12*0.0036/'Algemene parameters'!$B$14),TRUE,0)</f>
        <v>2.6423399999999996E-2</v>
      </c>
      <c r="N103" s="192" cm="1">
        <f t="array" ref="N103">_xlfn.IFS(N56="ETS1",(MIN(N57,'Algemene parameters'!$B$10)/1000*'Algemene parameters'!$B$12*0.0036/'Algemene parameters'!$B$14),N56="ETS2",(MIN(N58,'Algemene parameters'!$B$11)/1000*'Algemene parameters'!$B$12*0.0036/'Algemene parameters'!$B$14),TRUE,0)</f>
        <v>2.7772679999999998E-2</v>
      </c>
      <c r="O103" s="192" cm="1">
        <f t="array" ref="O103">_xlfn.IFS(O56="ETS1",(MIN(O57,'Algemene parameters'!$B$10)/1000*'Algemene parameters'!$B$12*0.0036/'Algemene parameters'!$B$14),O56="ETS2",(MIN(O58,'Algemene parameters'!$B$11)/1000*'Algemene parameters'!$B$12*0.0036/'Algemene parameters'!$B$14),TRUE,0)</f>
        <v>2.9121959999999999E-2</v>
      </c>
      <c r="P103" s="192" cm="1">
        <f t="array" ref="P103">_xlfn.IFS(P56="ETS1",(MIN(P57,'Algemene parameters'!$B$10)/1000*'Algemene parameters'!$B$12*0.0036/'Algemene parameters'!$B$14),P56="ETS2",(MIN(P58,'Algemene parameters'!$B$11)/1000*'Algemene parameters'!$B$12*0.0036/'Algemene parameters'!$B$14),TRUE,0)</f>
        <v>3.0358799999999998E-2</v>
      </c>
      <c r="Q103" s="192" cm="1">
        <f t="array" ref="Q103">_xlfn.IFS(Q56="ETS1",(MIN(Q57,'Algemene parameters'!$B$10)/1000*'Algemene parameters'!$B$12*0.0036/'Algemene parameters'!$B$14),Q56="ETS2",(MIN(Q58,'Algemene parameters'!$B$11)/1000*'Algemene parameters'!$B$12*0.0036/'Algemene parameters'!$B$14),TRUE,0)</f>
        <v>3.0358799999999998E-2</v>
      </c>
    </row>
    <row r="104" spans="1:17" s="183" customFormat="1" ht="14.25" customHeight="1" x14ac:dyDescent="0.35">
      <c r="A104" s="183" t="s">
        <v>178</v>
      </c>
      <c r="B104" s="191"/>
      <c r="C104" s="183" t="s">
        <v>175</v>
      </c>
      <c r="H104" s="192">
        <f t="shared" ref="H104:Q104" si="14">H103*(1-H59)</f>
        <v>1.9677E-2</v>
      </c>
      <c r="I104" s="192">
        <f t="shared" si="14"/>
        <v>2.1026279999999998E-2</v>
      </c>
      <c r="J104" s="192">
        <f t="shared" si="14"/>
        <v>2.2375559999999999E-2</v>
      </c>
      <c r="K104" s="192">
        <f t="shared" si="14"/>
        <v>2.3724839999999997E-2</v>
      </c>
      <c r="L104" s="192">
        <f t="shared" si="14"/>
        <v>2.5074120000000002E-2</v>
      </c>
      <c r="M104" s="192">
        <f t="shared" si="14"/>
        <v>2.6423399999999996E-2</v>
      </c>
      <c r="N104" s="192">
        <f t="shared" si="14"/>
        <v>2.7772679999999998E-2</v>
      </c>
      <c r="O104" s="192">
        <f t="shared" si="14"/>
        <v>2.9121959999999999E-2</v>
      </c>
      <c r="P104" s="192">
        <f t="shared" si="14"/>
        <v>3.0358799999999998E-2</v>
      </c>
      <c r="Q104" s="192">
        <f t="shared" si="14"/>
        <v>3.0358799999999998E-2</v>
      </c>
    </row>
    <row r="105" spans="1:17" s="183" customFormat="1" ht="14.25" customHeight="1" x14ac:dyDescent="0.25">
      <c r="A105" s="187" t="s">
        <v>179</v>
      </c>
      <c r="B105" s="187"/>
      <c r="C105" s="187"/>
      <c r="D105" s="187"/>
      <c r="E105" s="187"/>
      <c r="F105" s="187"/>
      <c r="G105" s="187"/>
      <c r="H105" s="190"/>
      <c r="I105" s="190"/>
      <c r="J105" s="190"/>
      <c r="K105" s="190"/>
      <c r="L105" s="190"/>
      <c r="M105" s="190"/>
      <c r="N105" s="190"/>
      <c r="O105" s="190"/>
      <c r="P105" s="190"/>
      <c r="Q105" s="190"/>
    </row>
    <row r="106" spans="1:17" s="183" customFormat="1" ht="14.25" customHeight="1" x14ac:dyDescent="0.35">
      <c r="A106" s="193" t="s">
        <v>180</v>
      </c>
      <c r="B106" s="184"/>
      <c r="C106" s="183" t="s">
        <v>81</v>
      </c>
      <c r="H106" s="192" t="str">
        <f ca="1">IFERROR($B$39*(VLOOKUP($B$6,'Technologie parameters'!$A9:$S15,14,FALSE)-ABS(H38))/H31,"")</f>
        <v/>
      </c>
      <c r="I106" s="192" t="str">
        <f ca="1">IFERROR($B$39*(VLOOKUP($B$6,'Technologie parameters'!$A9:$S15,14,FALSE)-ABS(I38))/I31,"")</f>
        <v/>
      </c>
      <c r="J106" s="192" t="str">
        <f ca="1">IFERROR($B$39*(VLOOKUP($B$6,'Technologie parameters'!$A9:$S15,14,FALSE)-ABS(J38))/J31,"")</f>
        <v/>
      </c>
      <c r="K106" s="192" t="str">
        <f ca="1">IFERROR($B$39*(VLOOKUP($B$6,'Technologie parameters'!$A9:$S15,14,FALSE)-ABS(K38))/K31,"")</f>
        <v/>
      </c>
      <c r="L106" s="192" t="str">
        <f ca="1">IFERROR($B$39*(VLOOKUP($B$6,'Technologie parameters'!$A9:$S15,14,FALSE)-ABS(L38))/L31,"")</f>
        <v/>
      </c>
      <c r="M106" s="192" t="str">
        <f ca="1">IFERROR($B$39*(VLOOKUP($B$6,'Technologie parameters'!$A9:$S15,14,FALSE)-ABS(M38))/M31,"")</f>
        <v/>
      </c>
      <c r="N106" s="192" t="str">
        <f ca="1">IFERROR($B$39*(VLOOKUP($B$6,'Technologie parameters'!$A9:$S15,14,FALSE)-ABS(N38))/N31,"")</f>
        <v/>
      </c>
      <c r="O106" s="192" t="str">
        <f ca="1">IFERROR($B$39*(VLOOKUP($B$6,'Technologie parameters'!$A9:$S15,14,FALSE)-ABS(O38))/O31,"")</f>
        <v/>
      </c>
      <c r="P106" s="192" t="str">
        <f ca="1">IFERROR($B$39*(VLOOKUP($B$6,'Technologie parameters'!$A9:$S15,14,FALSE)-ABS(P38))/P31,"")</f>
        <v/>
      </c>
      <c r="Q106" s="192" t="str">
        <f ca="1">IFERROR($B$39*(VLOOKUP($B$6,'Technologie parameters'!$A9:$S15,14,FALSE)-ABS(Q38))/Q31,"")</f>
        <v/>
      </c>
    </row>
    <row r="107" spans="1:17" s="183" customFormat="1" ht="14.25" customHeight="1" x14ac:dyDescent="0.35">
      <c r="A107" s="193" t="s">
        <v>181</v>
      </c>
      <c r="B107" s="184"/>
      <c r="C107" s="183" t="s">
        <v>81</v>
      </c>
      <c r="H107" s="192" t="str">
        <f t="shared" ref="H107:Q107" si="15">IFERROR($B$48-H46,"")</f>
        <v/>
      </c>
      <c r="I107" s="192" t="str">
        <f t="shared" si="15"/>
        <v/>
      </c>
      <c r="J107" s="192" t="str">
        <f t="shared" si="15"/>
        <v/>
      </c>
      <c r="K107" s="192" t="str">
        <f t="shared" si="15"/>
        <v/>
      </c>
      <c r="L107" s="192" t="str">
        <f t="shared" si="15"/>
        <v/>
      </c>
      <c r="M107" s="192" t="str">
        <f t="shared" si="15"/>
        <v/>
      </c>
      <c r="N107" s="192" t="str">
        <f t="shared" si="15"/>
        <v/>
      </c>
      <c r="O107" s="192" t="str">
        <f t="shared" si="15"/>
        <v/>
      </c>
      <c r="P107" s="192" t="str">
        <f t="shared" si="15"/>
        <v/>
      </c>
      <c r="Q107" s="192" t="str">
        <f t="shared" si="15"/>
        <v/>
      </c>
    </row>
    <row r="108" spans="1:17" s="183" customFormat="1" ht="14.25" customHeight="1" x14ac:dyDescent="0.35">
      <c r="A108" s="193" t="s">
        <v>182</v>
      </c>
      <c r="B108" s="184"/>
      <c r="C108" s="183" t="s">
        <v>81</v>
      </c>
      <c r="H108" s="192" t="str">
        <f t="shared" ref="H108:Q108" ca="1" si="16">IFERROR(H106+H107,"")</f>
        <v/>
      </c>
      <c r="I108" s="192" t="str">
        <f t="shared" ca="1" si="16"/>
        <v/>
      </c>
      <c r="J108" s="192" t="str">
        <f t="shared" ca="1" si="16"/>
        <v/>
      </c>
      <c r="K108" s="192" t="str">
        <f t="shared" ca="1" si="16"/>
        <v/>
      </c>
      <c r="L108" s="192" t="str">
        <f t="shared" ca="1" si="16"/>
        <v/>
      </c>
      <c r="M108" s="192" t="str">
        <f t="shared" ca="1" si="16"/>
        <v/>
      </c>
      <c r="N108" s="192" t="str">
        <f t="shared" ca="1" si="16"/>
        <v/>
      </c>
      <c r="O108" s="192" t="str">
        <f t="shared" ca="1" si="16"/>
        <v/>
      </c>
      <c r="P108" s="192" t="str">
        <f t="shared" ca="1" si="16"/>
        <v/>
      </c>
      <c r="Q108" s="192" t="str">
        <f t="shared" ca="1" si="16"/>
        <v/>
      </c>
    </row>
    <row r="109" spans="1:17" s="183" customFormat="1" ht="13.9" customHeight="1" x14ac:dyDescent="0.35">
      <c r="A109" s="193" t="s">
        <v>183</v>
      </c>
      <c r="B109" s="184"/>
      <c r="C109" s="183" t="s">
        <v>175</v>
      </c>
      <c r="H109" s="192" t="str">
        <f t="shared" ref="H109:Q109" ca="1" si="17">IFERROR(IF($B$7=1,H108/$B$23,H108/H24),"")</f>
        <v/>
      </c>
      <c r="I109" s="192" t="str">
        <f t="shared" ca="1" si="17"/>
        <v/>
      </c>
      <c r="J109" s="192" t="str">
        <f t="shared" ca="1" si="17"/>
        <v/>
      </c>
      <c r="K109" s="192" t="str">
        <f t="shared" ca="1" si="17"/>
        <v/>
      </c>
      <c r="L109" s="192" t="str">
        <f t="shared" ca="1" si="17"/>
        <v/>
      </c>
      <c r="M109" s="192" t="str">
        <f t="shared" ca="1" si="17"/>
        <v/>
      </c>
      <c r="N109" s="192" t="str">
        <f t="shared" ca="1" si="17"/>
        <v/>
      </c>
      <c r="O109" s="192" t="str">
        <f t="shared" ca="1" si="17"/>
        <v/>
      </c>
      <c r="P109" s="192" t="str">
        <f t="shared" ca="1" si="17"/>
        <v/>
      </c>
      <c r="Q109" s="192" t="str">
        <f t="shared" ca="1" si="17"/>
        <v/>
      </c>
    </row>
    <row r="110" spans="1:17" s="183" customFormat="1" ht="13.9" customHeight="1" x14ac:dyDescent="0.25">
      <c r="A110" s="187" t="s">
        <v>184</v>
      </c>
      <c r="B110" s="187"/>
      <c r="C110" s="187"/>
      <c r="D110" s="187"/>
      <c r="E110" s="187"/>
      <c r="F110" s="187"/>
      <c r="G110" s="187"/>
      <c r="H110" s="190"/>
      <c r="I110" s="190"/>
      <c r="J110" s="190"/>
      <c r="K110" s="190"/>
      <c r="L110" s="190"/>
      <c r="M110" s="190"/>
      <c r="N110" s="190"/>
      <c r="O110" s="190"/>
      <c r="P110" s="190"/>
      <c r="Q110" s="190"/>
    </row>
    <row r="111" spans="1:17" s="183" customFormat="1" ht="14.25" customHeight="1" x14ac:dyDescent="0.35">
      <c r="A111" s="193" t="s">
        <v>185</v>
      </c>
      <c r="B111" s="184"/>
      <c r="C111" s="183" t="s">
        <v>175</v>
      </c>
      <c r="H111" s="192" t="str">
        <f t="shared" ref="H111:Q111" si="18">IFERROR(IF($B$7=1,H62/$B$23,H62/H24),"")</f>
        <v/>
      </c>
      <c r="I111" s="192" t="str">
        <f t="shared" si="18"/>
        <v/>
      </c>
      <c r="J111" s="192" t="str">
        <f t="shared" si="18"/>
        <v/>
      </c>
      <c r="K111" s="192" t="str">
        <f t="shared" si="18"/>
        <v/>
      </c>
      <c r="L111" s="192" t="str">
        <f t="shared" si="18"/>
        <v/>
      </c>
      <c r="M111" s="192" t="str">
        <f t="shared" si="18"/>
        <v/>
      </c>
      <c r="N111" s="192" t="str">
        <f t="shared" si="18"/>
        <v/>
      </c>
      <c r="O111" s="192" t="str">
        <f t="shared" si="18"/>
        <v/>
      </c>
      <c r="P111" s="192" t="str">
        <f t="shared" si="18"/>
        <v/>
      </c>
      <c r="Q111" s="192" t="str">
        <f t="shared" si="18"/>
        <v/>
      </c>
    </row>
    <row r="112" spans="1:17" s="183" customFormat="1" ht="14.25" customHeight="1" x14ac:dyDescent="0.25">
      <c r="A112" s="187" t="s">
        <v>186</v>
      </c>
      <c r="B112" s="187"/>
      <c r="C112" s="187"/>
      <c r="D112" s="187"/>
      <c r="E112" s="187"/>
      <c r="F112" s="187"/>
      <c r="G112" s="187"/>
      <c r="H112" s="190"/>
      <c r="I112" s="190"/>
      <c r="J112" s="190"/>
      <c r="K112" s="190"/>
      <c r="L112" s="190"/>
      <c r="M112" s="190"/>
      <c r="N112" s="190"/>
      <c r="O112" s="190"/>
      <c r="P112" s="190"/>
      <c r="Q112" s="190"/>
    </row>
    <row r="113" spans="1:20" s="183" customFormat="1" ht="14.25" customHeight="1" x14ac:dyDescent="0.35">
      <c r="A113" s="183" t="s">
        <v>187</v>
      </c>
      <c r="B113" s="189"/>
      <c r="C113" s="183" t="s">
        <v>175</v>
      </c>
      <c r="H113" s="192" t="str">
        <f t="shared" ref="H113:Q113" ca="1" si="19">IFERROR(H101+H104+H109+H111,"")</f>
        <v/>
      </c>
      <c r="I113" s="192" t="str">
        <f t="shared" ca="1" si="19"/>
        <v/>
      </c>
      <c r="J113" s="192" t="str">
        <f t="shared" ca="1" si="19"/>
        <v/>
      </c>
      <c r="K113" s="192" t="str">
        <f t="shared" ca="1" si="19"/>
        <v/>
      </c>
      <c r="L113" s="192" t="str">
        <f t="shared" ca="1" si="19"/>
        <v/>
      </c>
      <c r="M113" s="192" t="str">
        <f t="shared" ca="1" si="19"/>
        <v/>
      </c>
      <c r="N113" s="192" t="str">
        <f t="shared" ca="1" si="19"/>
        <v/>
      </c>
      <c r="O113" s="192" t="str">
        <f t="shared" ca="1" si="19"/>
        <v/>
      </c>
      <c r="P113" s="192" t="str">
        <f t="shared" ca="1" si="19"/>
        <v/>
      </c>
      <c r="Q113" s="192" t="str">
        <f t="shared" ca="1" si="19"/>
        <v/>
      </c>
    </row>
    <row r="114" spans="1:20" s="183" customFormat="1" ht="14.25" customHeight="1" x14ac:dyDescent="0.35">
      <c r="A114" s="183" t="s">
        <v>188</v>
      </c>
      <c r="B114" s="189"/>
      <c r="C114" s="183" t="s">
        <v>189</v>
      </c>
      <c r="H114" s="194" t="str">
        <f t="shared" ref="H114:Q114" ca="1" si="20">IFERROR(H113/H71*1000,"")</f>
        <v/>
      </c>
      <c r="I114" s="194" t="str">
        <f t="shared" ca="1" si="20"/>
        <v/>
      </c>
      <c r="J114" s="194" t="str">
        <f t="shared" ca="1" si="20"/>
        <v/>
      </c>
      <c r="K114" s="194" t="str">
        <f t="shared" ca="1" si="20"/>
        <v/>
      </c>
      <c r="L114" s="194" t="str">
        <f t="shared" ca="1" si="20"/>
        <v/>
      </c>
      <c r="M114" s="194" t="str">
        <f t="shared" ca="1" si="20"/>
        <v/>
      </c>
      <c r="N114" s="194" t="str">
        <f t="shared" ca="1" si="20"/>
        <v/>
      </c>
      <c r="O114" s="194" t="str">
        <f t="shared" ca="1" si="20"/>
        <v/>
      </c>
      <c r="P114" s="194" t="str">
        <f t="shared" ca="1" si="20"/>
        <v/>
      </c>
      <c r="Q114" s="194" t="str">
        <f t="shared" ca="1" si="20"/>
        <v/>
      </c>
    </row>
    <row r="115" spans="1:20" s="183" customFormat="1" ht="14.25" customHeight="1" x14ac:dyDescent="0.25">
      <c r="A115" s="187" t="s">
        <v>190</v>
      </c>
      <c r="B115" s="187"/>
      <c r="C115" s="187"/>
      <c r="D115" s="187"/>
      <c r="E115" s="187"/>
      <c r="F115" s="187"/>
      <c r="G115" s="187"/>
      <c r="H115" s="190"/>
      <c r="I115" s="190"/>
      <c r="J115" s="190"/>
      <c r="K115" s="190"/>
      <c r="L115" s="190"/>
      <c r="M115" s="190"/>
      <c r="N115" s="190"/>
      <c r="O115" s="190"/>
      <c r="P115" s="190"/>
      <c r="Q115" s="190"/>
    </row>
    <row r="116" spans="1:20" s="183" customFormat="1" ht="14.25" customHeight="1" x14ac:dyDescent="0.35">
      <c r="A116" s="193" t="s">
        <v>191</v>
      </c>
      <c r="C116" s="183" t="s">
        <v>189</v>
      </c>
      <c r="H116" s="195">
        <v>0</v>
      </c>
      <c r="I116" s="195">
        <f t="shared" ref="I116:Q116" ca="1" si="21">IFERROR(IF(H117&lt;H$66,-(H66-H117)*H31/I31,0),"")</f>
        <v>0</v>
      </c>
      <c r="J116" s="195">
        <f t="shared" ca="1" si="21"/>
        <v>0</v>
      </c>
      <c r="K116" s="195">
        <f t="shared" ca="1" si="21"/>
        <v>0</v>
      </c>
      <c r="L116" s="195">
        <f t="shared" ca="1" si="21"/>
        <v>0</v>
      </c>
      <c r="M116" s="195">
        <f t="shared" ca="1" si="21"/>
        <v>0</v>
      </c>
      <c r="N116" s="195">
        <f t="shared" ca="1" si="21"/>
        <v>0</v>
      </c>
      <c r="O116" s="195">
        <f t="shared" ca="1" si="21"/>
        <v>0</v>
      </c>
      <c r="P116" s="195">
        <f t="shared" ca="1" si="21"/>
        <v>0</v>
      </c>
      <c r="Q116" s="195">
        <f t="shared" ca="1" si="21"/>
        <v>0</v>
      </c>
    </row>
    <row r="117" spans="1:20" s="12" customFormat="1" ht="14.25" customHeight="1" x14ac:dyDescent="0.25">
      <c r="A117" s="179" t="s">
        <v>192</v>
      </c>
      <c r="B117" s="179"/>
      <c r="C117" s="179" t="s">
        <v>193</v>
      </c>
      <c r="D117" s="179"/>
      <c r="E117" s="179"/>
      <c r="F117" s="179"/>
      <c r="G117" s="179"/>
      <c r="H117" s="196" t="str">
        <f t="shared" ref="H117:Q117" ca="1" si="22">IFERROR(H114+H116,"")</f>
        <v/>
      </c>
      <c r="I117" s="196" t="str">
        <f t="shared" ca="1" si="22"/>
        <v/>
      </c>
      <c r="J117" s="196" t="str">
        <f t="shared" ca="1" si="22"/>
        <v/>
      </c>
      <c r="K117" s="196" t="str">
        <f t="shared" ca="1" si="22"/>
        <v/>
      </c>
      <c r="L117" s="196" t="str">
        <f t="shared" ca="1" si="22"/>
        <v/>
      </c>
      <c r="M117" s="196" t="str">
        <f t="shared" ca="1" si="22"/>
        <v/>
      </c>
      <c r="N117" s="196" t="str">
        <f t="shared" ca="1" si="22"/>
        <v/>
      </c>
      <c r="O117" s="196" t="str">
        <f t="shared" ca="1" si="22"/>
        <v/>
      </c>
      <c r="P117" s="196" t="str">
        <f t="shared" ca="1" si="22"/>
        <v/>
      </c>
      <c r="Q117" s="196" t="str">
        <f t="shared" ca="1" si="22"/>
        <v/>
      </c>
    </row>
    <row r="118" spans="1:20" s="12" customFormat="1" ht="14.25" customHeight="1" x14ac:dyDescent="0.25">
      <c r="B118" s="197"/>
      <c r="C118" s="198"/>
      <c r="D118" s="198"/>
      <c r="E118" s="198"/>
      <c r="F118" s="198"/>
      <c r="G118" s="197"/>
      <c r="H118" s="197"/>
      <c r="I118" s="197"/>
      <c r="J118" s="197"/>
      <c r="K118" s="197"/>
      <c r="L118" s="197"/>
      <c r="M118" s="197"/>
      <c r="N118" s="197"/>
      <c r="O118" s="197"/>
      <c r="P118" s="197"/>
      <c r="Q118" s="197"/>
    </row>
    <row r="119" spans="1:20" s="12" customFormat="1" ht="14.25" customHeight="1" x14ac:dyDescent="0.25">
      <c r="B119" s="197"/>
      <c r="C119" s="198"/>
      <c r="D119" s="198"/>
      <c r="E119" s="198"/>
      <c r="F119" s="198"/>
      <c r="G119" s="197"/>
      <c r="H119" s="197"/>
      <c r="I119" s="197"/>
      <c r="J119" s="197"/>
      <c r="K119" s="197"/>
      <c r="L119" s="197"/>
      <c r="M119" s="197"/>
      <c r="N119" s="197"/>
      <c r="O119" s="197"/>
      <c r="P119" s="197"/>
      <c r="Q119" s="197"/>
    </row>
    <row r="120" spans="1:20" s="21" customFormat="1" ht="14.25" customHeight="1" x14ac:dyDescent="0.25">
      <c r="A120" s="181" t="s">
        <v>194</v>
      </c>
      <c r="B120" s="155"/>
      <c r="C120" s="132" t="s">
        <v>159</v>
      </c>
      <c r="D120" s="155"/>
      <c r="E120" s="155"/>
      <c r="F120" s="155"/>
      <c r="G120" s="155"/>
      <c r="H120" s="155"/>
      <c r="I120" s="155"/>
      <c r="J120" s="155"/>
      <c r="K120" s="155"/>
      <c r="L120" s="155"/>
      <c r="M120" s="155"/>
      <c r="N120" s="155"/>
      <c r="O120" s="155"/>
      <c r="P120" s="155"/>
      <c r="Q120" s="155"/>
    </row>
    <row r="121" spans="1:20" s="183" customFormat="1" ht="14.25" customHeight="1" x14ac:dyDescent="0.25">
      <c r="A121" s="187" t="s">
        <v>195</v>
      </c>
      <c r="B121" s="199"/>
      <c r="C121" s="199" t="s">
        <v>138</v>
      </c>
      <c r="D121" s="199"/>
      <c r="E121" s="199"/>
      <c r="F121" s="199"/>
      <c r="G121" s="200"/>
      <c r="H121" s="200" t="str">
        <f t="shared" ref="H121:Q121" ca="1" si="23">IFERROR(IF(H117&lt;H$66,IF($B$7=1,H$66/1000*($B$22*$B$23*H31*H71),H$66/1000*($B$22*H24*H31*H71)),IF($B$7=1,H117/1000*($B$22*$B$23*H31*H71),H117/1000*($B$22*H24*H31*H71))),"")</f>
        <v/>
      </c>
      <c r="I121" s="200" t="str">
        <f t="shared" ca="1" si="23"/>
        <v/>
      </c>
      <c r="J121" s="200" t="str">
        <f t="shared" ca="1" si="23"/>
        <v/>
      </c>
      <c r="K121" s="200" t="str">
        <f t="shared" ca="1" si="23"/>
        <v/>
      </c>
      <c r="L121" s="200" t="str">
        <f t="shared" ca="1" si="23"/>
        <v/>
      </c>
      <c r="M121" s="200" t="str">
        <f t="shared" ca="1" si="23"/>
        <v/>
      </c>
      <c r="N121" s="200" t="str">
        <f t="shared" ca="1" si="23"/>
        <v/>
      </c>
      <c r="O121" s="200" t="str">
        <f t="shared" ca="1" si="23"/>
        <v/>
      </c>
      <c r="P121" s="200" t="str">
        <f t="shared" ca="1" si="23"/>
        <v/>
      </c>
      <c r="Q121" s="200" t="str">
        <f t="shared" ca="1" si="23"/>
        <v/>
      </c>
      <c r="S121" s="201"/>
      <c r="T121" s="201"/>
    </row>
    <row r="122" spans="1:20" s="183" customFormat="1" ht="14.25" customHeight="1" x14ac:dyDescent="0.25">
      <c r="B122" s="201"/>
      <c r="H122" s="201"/>
      <c r="I122" s="201"/>
      <c r="J122" s="201"/>
      <c r="K122" s="201"/>
      <c r="L122" s="201"/>
      <c r="M122" s="201"/>
      <c r="N122" s="201"/>
      <c r="O122" s="201"/>
      <c r="P122" s="201"/>
      <c r="Q122" s="201"/>
    </row>
    <row r="123" spans="1:20" s="183" customFormat="1" ht="14.25" customHeight="1" x14ac:dyDescent="0.25">
      <c r="A123" s="202" t="s">
        <v>196</v>
      </c>
      <c r="B123" s="203"/>
      <c r="R123" s="204"/>
    </row>
    <row r="124" spans="1:20" s="183" customFormat="1" ht="14.25" customHeight="1" x14ac:dyDescent="0.25">
      <c r="A124" s="187" t="s">
        <v>197</v>
      </c>
      <c r="B124" s="187"/>
      <c r="C124" s="187"/>
      <c r="D124" s="187"/>
      <c r="E124" s="187"/>
      <c r="F124" s="187"/>
      <c r="G124" s="187"/>
      <c r="H124" s="205"/>
      <c r="I124" s="205"/>
      <c r="J124" s="205"/>
      <c r="K124" s="205"/>
      <c r="L124" s="205"/>
      <c r="M124" s="205"/>
      <c r="N124" s="205"/>
      <c r="O124" s="205"/>
      <c r="P124" s="205"/>
      <c r="Q124" s="205"/>
      <c r="R124" s="186"/>
    </row>
    <row r="125" spans="1:20" s="183" customFormat="1" ht="14.25" customHeight="1" x14ac:dyDescent="0.25">
      <c r="A125" s="183" t="s">
        <v>198</v>
      </c>
      <c r="B125" s="201"/>
      <c r="C125" s="183" t="s">
        <v>138</v>
      </c>
      <c r="H125" s="201">
        <f t="shared" ref="H125:Q125" ca="1" si="24">IFERROR(IF($B$7=1,($B$12/1000*H71*$B$22*$B$23*H31)-H121,($B$12/1000*H71*$B$22*H24*H31)-H121),0)</f>
        <v>0</v>
      </c>
      <c r="I125" s="201">
        <f t="shared" ca="1" si="24"/>
        <v>0</v>
      </c>
      <c r="J125" s="201">
        <f t="shared" ca="1" si="24"/>
        <v>0</v>
      </c>
      <c r="K125" s="201">
        <f t="shared" ca="1" si="24"/>
        <v>0</v>
      </c>
      <c r="L125" s="201">
        <f t="shared" ca="1" si="24"/>
        <v>0</v>
      </c>
      <c r="M125" s="201">
        <f t="shared" ca="1" si="24"/>
        <v>0</v>
      </c>
      <c r="N125" s="201">
        <f t="shared" ca="1" si="24"/>
        <v>0</v>
      </c>
      <c r="O125" s="201">
        <f t="shared" ca="1" si="24"/>
        <v>0</v>
      </c>
      <c r="P125" s="201">
        <f t="shared" ca="1" si="24"/>
        <v>0</v>
      </c>
      <c r="Q125" s="201">
        <f t="shared" ca="1" si="24"/>
        <v>0</v>
      </c>
      <c r="R125" s="186"/>
    </row>
    <row r="126" spans="1:20" s="12" customFormat="1" ht="14.25" customHeight="1" x14ac:dyDescent="0.25">
      <c r="A126" s="179" t="s">
        <v>199</v>
      </c>
      <c r="B126" s="179"/>
      <c r="C126" s="179" t="s">
        <v>138</v>
      </c>
      <c r="D126" s="179"/>
      <c r="E126" s="179"/>
      <c r="F126" s="179"/>
      <c r="G126" s="179"/>
      <c r="H126" s="206">
        <f t="shared" ref="H126:Q126" ca="1" si="25">IF(H125&gt;2000000,2000000,H125)</f>
        <v>0</v>
      </c>
      <c r="I126" s="206">
        <f t="shared" ca="1" si="25"/>
        <v>0</v>
      </c>
      <c r="J126" s="206">
        <f t="shared" ca="1" si="25"/>
        <v>0</v>
      </c>
      <c r="K126" s="206">
        <f t="shared" ca="1" si="25"/>
        <v>0</v>
      </c>
      <c r="L126" s="206">
        <f t="shared" ca="1" si="25"/>
        <v>0</v>
      </c>
      <c r="M126" s="206">
        <f t="shared" ca="1" si="25"/>
        <v>0</v>
      </c>
      <c r="N126" s="206">
        <f t="shared" ca="1" si="25"/>
        <v>0</v>
      </c>
      <c r="O126" s="206">
        <f t="shared" ca="1" si="25"/>
        <v>0</v>
      </c>
      <c r="P126" s="206">
        <f t="shared" ca="1" si="25"/>
        <v>0</v>
      </c>
      <c r="Q126" s="206">
        <f t="shared" ca="1" si="25"/>
        <v>0</v>
      </c>
      <c r="R126" s="176"/>
    </row>
    <row r="127" spans="1:20" s="12" customFormat="1" ht="14.25" customHeight="1" x14ac:dyDescent="0.25">
      <c r="B127" s="183"/>
      <c r="C127" s="175"/>
      <c r="D127" s="175"/>
      <c r="E127" s="175"/>
      <c r="F127" s="175"/>
      <c r="G127" s="176"/>
      <c r="H127" s="176"/>
      <c r="I127" s="176"/>
      <c r="J127" s="176"/>
      <c r="K127" s="176"/>
      <c r="L127" s="176"/>
      <c r="M127" s="176"/>
      <c r="N127" s="176"/>
      <c r="O127" s="176"/>
      <c r="P127" s="176"/>
      <c r="Q127" s="176"/>
      <c r="R127" s="207"/>
      <c r="S127" s="277"/>
    </row>
    <row r="128" spans="1:20" s="12" customFormat="1" ht="14.25" customHeight="1" x14ac:dyDescent="0.25">
      <c r="B128" s="183"/>
      <c r="C128" s="175"/>
      <c r="D128" s="175"/>
      <c r="E128" s="175"/>
      <c r="F128" s="175"/>
      <c r="G128" s="176"/>
      <c r="H128" s="176"/>
      <c r="I128" s="176"/>
      <c r="J128" s="176"/>
      <c r="K128" s="176"/>
      <c r="L128" s="176"/>
      <c r="M128" s="176"/>
      <c r="N128" s="176"/>
      <c r="O128" s="176"/>
      <c r="P128" s="176"/>
      <c r="Q128" s="176"/>
      <c r="R128" s="207"/>
      <c r="S128" s="277"/>
    </row>
    <row r="129" spans="1:21" s="214" customFormat="1" ht="21" x14ac:dyDescent="0.35">
      <c r="A129" s="209" t="s">
        <v>200</v>
      </c>
      <c r="B129" s="210">
        <f ca="1">SUM(H126:Q126)</f>
        <v>0</v>
      </c>
      <c r="C129" s="211"/>
      <c r="D129" s="211"/>
      <c r="E129" s="211"/>
      <c r="F129" s="211"/>
      <c r="G129" s="278"/>
      <c r="H129" s="213"/>
      <c r="I129" s="213"/>
      <c r="J129" s="213"/>
      <c r="K129" s="213"/>
      <c r="L129" s="213"/>
      <c r="M129" s="213"/>
      <c r="N129" s="213"/>
      <c r="O129" s="213"/>
      <c r="P129" s="213"/>
      <c r="Q129" s="213"/>
      <c r="R129" s="209"/>
    </row>
    <row r="130" spans="1:21" s="12" customFormat="1" ht="5.0999999999999996" customHeight="1" x14ac:dyDescent="0.25">
      <c r="A130" s="215"/>
      <c r="B130" s="215"/>
      <c r="C130" s="49"/>
      <c r="D130" s="49"/>
      <c r="E130" s="49"/>
      <c r="F130" s="49"/>
      <c r="G130" s="49"/>
      <c r="H130" s="49"/>
      <c r="I130" s="49"/>
      <c r="J130" s="49"/>
      <c r="K130" s="49"/>
      <c r="L130" s="49"/>
      <c r="M130" s="49"/>
      <c r="N130" s="49"/>
    </row>
    <row r="131" spans="1:21" s="12" customFormat="1" ht="14.25" customHeight="1" x14ac:dyDescent="0.25">
      <c r="B131" s="216"/>
      <c r="H131" s="197"/>
      <c r="I131" s="197"/>
      <c r="J131" s="197"/>
      <c r="K131" s="197"/>
      <c r="L131" s="197"/>
      <c r="M131" s="197"/>
      <c r="N131" s="197"/>
      <c r="O131" s="197"/>
      <c r="P131" s="197"/>
      <c r="Q131" s="197"/>
    </row>
    <row r="132" spans="1:21" s="12" customFormat="1" ht="14.25" customHeight="1" x14ac:dyDescent="0.25">
      <c r="B132" s="216"/>
      <c r="H132" s="197"/>
      <c r="I132" s="197"/>
      <c r="J132" s="197"/>
      <c r="K132" s="197"/>
      <c r="L132" s="197"/>
      <c r="M132" s="197"/>
      <c r="N132" s="197"/>
      <c r="O132" s="197"/>
      <c r="P132" s="197"/>
      <c r="Q132" s="197"/>
    </row>
    <row r="133" spans="1:21" s="12" customFormat="1" ht="14.25" customHeight="1" x14ac:dyDescent="0.25">
      <c r="B133" s="216"/>
      <c r="H133" s="197"/>
      <c r="I133" s="197"/>
      <c r="J133" s="197"/>
      <c r="K133" s="197"/>
      <c r="L133" s="197"/>
      <c r="M133" s="197"/>
      <c r="N133" s="197"/>
      <c r="O133" s="197"/>
      <c r="P133" s="197"/>
      <c r="Q133" s="197"/>
    </row>
    <row r="134" spans="1:21" s="12" customFormat="1" ht="14.25" customHeight="1" x14ac:dyDescent="0.25">
      <c r="B134" s="216"/>
      <c r="H134" s="197"/>
      <c r="I134" s="197"/>
      <c r="J134" s="197"/>
      <c r="K134" s="197"/>
      <c r="L134" s="197"/>
      <c r="M134" s="197"/>
      <c r="N134" s="197"/>
      <c r="O134" s="197"/>
      <c r="P134" s="197"/>
      <c r="Q134" s="197"/>
    </row>
    <row r="135" spans="1:21" s="12" customFormat="1" ht="14.25" customHeight="1" x14ac:dyDescent="0.25">
      <c r="B135" s="217"/>
      <c r="C135" s="218"/>
      <c r="D135" s="218"/>
      <c r="E135" s="218"/>
      <c r="F135" s="218"/>
      <c r="G135" s="218"/>
      <c r="H135" s="218"/>
      <c r="I135" s="218"/>
      <c r="J135" s="218"/>
      <c r="K135" s="218"/>
      <c r="L135" s="218"/>
      <c r="M135" s="218"/>
      <c r="N135" s="218"/>
      <c r="R135" s="219"/>
    </row>
    <row r="136" spans="1:21" s="15" customFormat="1" ht="14.25" customHeight="1" x14ac:dyDescent="0.25">
      <c r="A136" s="13" t="s">
        <v>201</v>
      </c>
      <c r="B136" s="13"/>
      <c r="C136" s="13"/>
      <c r="D136" s="13"/>
      <c r="E136" s="13"/>
      <c r="F136" s="13"/>
      <c r="G136" s="13"/>
      <c r="H136" s="13"/>
      <c r="I136" s="13"/>
      <c r="J136" s="13"/>
    </row>
    <row r="137" spans="1:21" s="22" customFormat="1" ht="14.25" customHeight="1" x14ac:dyDescent="0.25">
      <c r="A137" s="290" t="s">
        <v>117</v>
      </c>
      <c r="B137" s="291"/>
      <c r="C137" s="291"/>
      <c r="D137" s="291"/>
      <c r="E137" s="291"/>
      <c r="F137" s="291"/>
      <c r="G137" s="291"/>
      <c r="H137" s="291"/>
      <c r="I137" s="291"/>
      <c r="J137" s="291"/>
      <c r="K137" s="291"/>
      <c r="L137" s="291"/>
      <c r="M137" s="291"/>
      <c r="N137" s="294"/>
      <c r="O137" s="294"/>
      <c r="P137" s="294"/>
      <c r="Q137" s="294"/>
    </row>
    <row r="138" spans="1:21" s="12" customFormat="1" ht="14.25" customHeight="1" x14ac:dyDescent="0.25">
      <c r="B138" s="217"/>
      <c r="R138" s="219"/>
    </row>
    <row r="139" spans="1:21" s="257" customFormat="1" ht="14.25" customHeight="1" x14ac:dyDescent="0.25">
      <c r="A139" s="279" t="s">
        <v>170</v>
      </c>
      <c r="B139" s="279"/>
      <c r="C139" s="280"/>
      <c r="D139" s="180">
        <v>-4</v>
      </c>
      <c r="E139" s="180">
        <v>-3</v>
      </c>
      <c r="F139" s="180">
        <v>-2</v>
      </c>
      <c r="G139" s="180">
        <v>-1</v>
      </c>
      <c r="H139" s="180">
        <v>1</v>
      </c>
      <c r="I139" s="180">
        <v>2</v>
      </c>
      <c r="J139" s="180">
        <v>3</v>
      </c>
      <c r="K139" s="180">
        <v>4</v>
      </c>
      <c r="L139" s="180">
        <v>5</v>
      </c>
      <c r="M139" s="180">
        <v>6</v>
      </c>
      <c r="N139" s="180">
        <v>7</v>
      </c>
      <c r="O139" s="180">
        <v>8</v>
      </c>
      <c r="P139" s="180">
        <v>9</v>
      </c>
      <c r="Q139" s="180">
        <v>10</v>
      </c>
    </row>
    <row r="140" spans="1:21" s="258" customFormat="1" ht="14.25" customHeight="1" x14ac:dyDescent="0.25">
      <c r="A140" s="281" t="s">
        <v>171</v>
      </c>
      <c r="B140" s="282"/>
      <c r="C140" s="283"/>
      <c r="D140" s="283"/>
      <c r="E140" s="283"/>
      <c r="F140" s="283"/>
      <c r="G140" s="283"/>
      <c r="H140" s="283">
        <f t="shared" ref="H140:Q140" si="26">POWER(1+$B$77,H139-$H$96)</f>
        <v>1</v>
      </c>
      <c r="I140" s="283">
        <f t="shared" si="26"/>
        <v>1.02</v>
      </c>
      <c r="J140" s="283">
        <f t="shared" si="26"/>
        <v>1.0404</v>
      </c>
      <c r="K140" s="283">
        <f t="shared" si="26"/>
        <v>1.0612079999999999</v>
      </c>
      <c r="L140" s="283">
        <f t="shared" si="26"/>
        <v>1.08243216</v>
      </c>
      <c r="M140" s="283">
        <f t="shared" si="26"/>
        <v>1.1040808032</v>
      </c>
      <c r="N140" s="283">
        <f t="shared" si="26"/>
        <v>1.1261624192640001</v>
      </c>
      <c r="O140" s="283">
        <f t="shared" si="26"/>
        <v>1.1486856676492798</v>
      </c>
      <c r="P140" s="283">
        <f t="shared" si="26"/>
        <v>1.1716593810022655</v>
      </c>
      <c r="Q140" s="283">
        <f t="shared" si="26"/>
        <v>1.1950925686223108</v>
      </c>
    </row>
    <row r="141" spans="1:21" s="12" customFormat="1" ht="14.25" customHeight="1" x14ac:dyDescent="0.25">
      <c r="A141" s="227"/>
      <c r="B141" s="228"/>
      <c r="C141" s="228"/>
      <c r="D141" s="228"/>
      <c r="E141" s="228"/>
      <c r="F141" s="228"/>
      <c r="G141" s="228"/>
      <c r="H141" s="228"/>
      <c r="I141" s="228"/>
      <c r="J141" s="228"/>
      <c r="K141" s="228"/>
      <c r="L141" s="228"/>
      <c r="M141" s="228"/>
      <c r="N141" s="228"/>
      <c r="O141" s="228"/>
      <c r="P141" s="228"/>
      <c r="Q141" s="228"/>
      <c r="R141" s="219"/>
    </row>
    <row r="142" spans="1:21" s="12" customFormat="1" ht="14.25" customHeight="1" x14ac:dyDescent="0.25">
      <c r="A142" s="229" t="s">
        <v>202</v>
      </c>
      <c r="B142" s="229"/>
      <c r="C142" s="229"/>
      <c r="D142" s="229"/>
      <c r="E142" s="229"/>
      <c r="F142" s="229"/>
      <c r="G142" s="229"/>
      <c r="H142" s="230"/>
      <c r="I142" s="230"/>
      <c r="J142" s="230"/>
      <c r="K142" s="230"/>
      <c r="L142" s="230"/>
      <c r="M142" s="230"/>
      <c r="N142" s="230"/>
      <c r="O142" s="230"/>
      <c r="P142" s="230"/>
      <c r="Q142" s="230"/>
      <c r="R142" s="183"/>
      <c r="S142" s="183"/>
      <c r="T142" s="183"/>
      <c r="U142" s="183"/>
    </row>
    <row r="143" spans="1:21" s="12" customFormat="1" ht="14.25" customHeight="1" x14ac:dyDescent="0.35">
      <c r="A143" s="183" t="s">
        <v>203</v>
      </c>
      <c r="B143" s="184"/>
      <c r="C143" s="231" t="s">
        <v>204</v>
      </c>
      <c r="D143" s="231"/>
      <c r="E143" s="231"/>
      <c r="F143" s="231"/>
      <c r="G143" s="183"/>
      <c r="H143" s="252" cm="1">
        <f t="array" ref="H143">_xlfn.IFS(H56="ETS1",(H57/1000*'Algemene parameters'!$B$12*0.0036/'Algemene parameters'!$B$14),H56="ETS2",(H58/1000*'Algemene parameters'!$B$12*0.0036/'Algemene parameters'!$B$14),TRUE,0)</f>
        <v>1.9677E-2</v>
      </c>
      <c r="I143" s="252" cm="1">
        <f t="array" ref="I143">_xlfn.IFS(I56="ETS1",(I57/1000*'Algemene parameters'!$B$12*0.0036/'Algemene parameters'!$B$14),I56="ETS2",(I58/1000*'Algemene parameters'!$B$12*0.0036/'Algemene parameters'!$B$14),TRUE,0)</f>
        <v>2.1026279999999998E-2</v>
      </c>
      <c r="J143" s="252" cm="1">
        <f t="array" ref="J143">_xlfn.IFS(J56="ETS1",(J57/1000*'Algemene parameters'!$B$12*0.0036/'Algemene parameters'!$B$14),J56="ETS2",(J58/1000*'Algemene parameters'!$B$12*0.0036/'Algemene parameters'!$B$14),TRUE,0)</f>
        <v>2.2375559999999999E-2</v>
      </c>
      <c r="K143" s="252" cm="1">
        <f t="array" ref="K143">_xlfn.IFS(K56="ETS1",(K57/1000*'Algemene parameters'!$B$12*0.0036/'Algemene parameters'!$B$14),K56="ETS2",(K58/1000*'Algemene parameters'!$B$12*0.0036/'Algemene parameters'!$B$14),TRUE,0)</f>
        <v>2.3724839999999997E-2</v>
      </c>
      <c r="L143" s="252" cm="1">
        <f t="array" ref="L143">_xlfn.IFS(L56="ETS1",(L57/1000*'Algemene parameters'!$B$12*0.0036/'Algemene parameters'!$B$14),L56="ETS2",(L58/1000*'Algemene parameters'!$B$12*0.0036/'Algemene parameters'!$B$14),TRUE,0)</f>
        <v>2.5074120000000002E-2</v>
      </c>
      <c r="M143" s="252" cm="1">
        <f t="array" ref="M143">_xlfn.IFS(M56="ETS1",(M57/1000*'Algemene parameters'!$B$12*0.0036/'Algemene parameters'!$B$14),M56="ETS2",(M58/1000*'Algemene parameters'!$B$12*0.0036/'Algemene parameters'!$B$14),TRUE,0)</f>
        <v>2.6423399999999996E-2</v>
      </c>
      <c r="N143" s="252" cm="1">
        <f t="array" ref="N143">_xlfn.IFS(N56="ETS1",(N57/1000*'Algemene parameters'!$B$12*0.0036/'Algemene parameters'!$B$14),N56="ETS2",(N58/1000*'Algemene parameters'!$B$12*0.0036/'Algemene parameters'!$B$14),TRUE,0)</f>
        <v>2.7772679999999998E-2</v>
      </c>
      <c r="O143" s="252" cm="1">
        <f t="array" ref="O143">_xlfn.IFS(O56="ETS1",(O57/1000*'Algemene parameters'!$B$12*0.0036/'Algemene parameters'!$B$14),O56="ETS2",(O58/1000*'Algemene parameters'!$B$12*0.0036/'Algemene parameters'!$B$14),TRUE,0)</f>
        <v>2.9121959999999999E-2</v>
      </c>
      <c r="P143" s="252" cm="1">
        <f t="array" ref="P143">_xlfn.IFS(P56="ETS1",(P57/1000*'Algemene parameters'!$B$12*0.0036/'Algemene parameters'!$B$14),P56="ETS2",(P58/1000*'Algemene parameters'!$B$12*0.0036/'Algemene parameters'!$B$14),TRUE,0)</f>
        <v>3.047124E-2</v>
      </c>
      <c r="Q143" s="252" cm="1">
        <f t="array" ref="Q143">_xlfn.IFS(Q56="ETS1",(Q57/1000*'Algemene parameters'!$B$12*0.0036/'Algemene parameters'!$B$14),Q56="ETS2",(Q58/1000*'Algemene parameters'!$B$12*0.0036/'Algemene parameters'!$B$14),TRUE,0)</f>
        <v>3.1820519999999991E-2</v>
      </c>
      <c r="R143" s="183"/>
      <c r="S143" s="183"/>
      <c r="T143" s="183"/>
      <c r="U143" s="183"/>
    </row>
    <row r="144" spans="1:21" s="12" customFormat="1" ht="14.25" customHeight="1" x14ac:dyDescent="0.35">
      <c r="A144" s="183" t="s">
        <v>205</v>
      </c>
      <c r="B144" s="184"/>
      <c r="C144" s="231" t="s">
        <v>204</v>
      </c>
      <c r="D144" s="231"/>
      <c r="E144" s="231"/>
      <c r="F144" s="231"/>
      <c r="G144" s="183"/>
      <c r="H144" s="252">
        <f t="shared" ref="H144:Q144" si="27">H143*(1-H59)</f>
        <v>1.9677E-2</v>
      </c>
      <c r="I144" s="252">
        <f t="shared" si="27"/>
        <v>2.1026279999999998E-2</v>
      </c>
      <c r="J144" s="252">
        <f t="shared" si="27"/>
        <v>2.2375559999999999E-2</v>
      </c>
      <c r="K144" s="252">
        <f t="shared" si="27"/>
        <v>2.3724839999999997E-2</v>
      </c>
      <c r="L144" s="252">
        <f t="shared" si="27"/>
        <v>2.5074120000000002E-2</v>
      </c>
      <c r="M144" s="252">
        <f t="shared" si="27"/>
        <v>2.6423399999999996E-2</v>
      </c>
      <c r="N144" s="252">
        <f t="shared" si="27"/>
        <v>2.7772679999999998E-2</v>
      </c>
      <c r="O144" s="252">
        <f t="shared" si="27"/>
        <v>2.9121959999999999E-2</v>
      </c>
      <c r="P144" s="252">
        <f t="shared" si="27"/>
        <v>3.047124E-2</v>
      </c>
      <c r="Q144" s="252">
        <f t="shared" si="27"/>
        <v>3.1820519999999991E-2</v>
      </c>
    </row>
    <row r="145" spans="1:18" s="12" customFormat="1" ht="14.25" customHeight="1" x14ac:dyDescent="0.25">
      <c r="A145" s="183"/>
      <c r="B145" s="184"/>
      <c r="C145" s="231"/>
      <c r="D145" s="231"/>
      <c r="E145" s="231"/>
      <c r="F145" s="231"/>
      <c r="G145" s="183"/>
      <c r="H145" s="232"/>
      <c r="I145" s="232"/>
      <c r="J145" s="232"/>
      <c r="K145" s="232"/>
      <c r="L145" s="232"/>
      <c r="M145" s="232"/>
      <c r="N145" s="232"/>
      <c r="O145" s="232"/>
      <c r="P145" s="232"/>
      <c r="Q145" s="232"/>
    </row>
    <row r="146" spans="1:18" s="12" customFormat="1" ht="14.25" customHeight="1" x14ac:dyDescent="0.25">
      <c r="A146" s="90" t="s">
        <v>206</v>
      </c>
      <c r="B146" s="228"/>
      <c r="C146" s="132" t="s">
        <v>159</v>
      </c>
      <c r="D146" s="228"/>
      <c r="E146" s="228"/>
      <c r="F146" s="228"/>
      <c r="G146" s="228"/>
      <c r="H146" s="228"/>
      <c r="I146" s="228"/>
      <c r="J146" s="228"/>
      <c r="K146" s="228"/>
      <c r="L146" s="228"/>
      <c r="M146" s="228"/>
      <c r="N146" s="228"/>
      <c r="O146" s="228"/>
      <c r="P146" s="228"/>
      <c r="Q146" s="228"/>
      <c r="R146" s="219"/>
    </row>
    <row r="147" spans="1:18" s="12" customFormat="1" ht="14.25" customHeight="1" x14ac:dyDescent="0.25">
      <c r="A147" s="229" t="s">
        <v>207</v>
      </c>
      <c r="B147" s="229"/>
      <c r="C147" s="229"/>
      <c r="D147" s="233">
        <f>-ABS(D35)</f>
        <v>0</v>
      </c>
      <c r="E147" s="233">
        <f>-ABS(E35)</f>
        <v>0</v>
      </c>
      <c r="F147" s="233">
        <f>-ABS(F35)</f>
        <v>0</v>
      </c>
      <c r="G147" s="233">
        <f>-ABS(G35)</f>
        <v>0</v>
      </c>
      <c r="H147" s="233">
        <f t="shared" ref="H147:Q147" ca="1" si="28">IFERROR(-ABS(H47)-ABS(H42),0)</f>
        <v>0</v>
      </c>
      <c r="I147" s="233">
        <f t="shared" ca="1" si="28"/>
        <v>0</v>
      </c>
      <c r="J147" s="233">
        <f t="shared" ca="1" si="28"/>
        <v>0</v>
      </c>
      <c r="K147" s="233">
        <f t="shared" ca="1" si="28"/>
        <v>0</v>
      </c>
      <c r="L147" s="233">
        <f t="shared" ca="1" si="28"/>
        <v>0</v>
      </c>
      <c r="M147" s="233">
        <f t="shared" ca="1" si="28"/>
        <v>0</v>
      </c>
      <c r="N147" s="233">
        <f t="shared" ca="1" si="28"/>
        <v>0</v>
      </c>
      <c r="O147" s="233">
        <f t="shared" ca="1" si="28"/>
        <v>0</v>
      </c>
      <c r="P147" s="233">
        <f t="shared" ca="1" si="28"/>
        <v>0</v>
      </c>
      <c r="Q147" s="233">
        <f t="shared" ca="1" si="28"/>
        <v>0</v>
      </c>
      <c r="R147" s="207"/>
    </row>
    <row r="148" spans="1:18" s="12" customFormat="1" ht="14.25" customHeight="1" x14ac:dyDescent="0.25">
      <c r="B148" s="32"/>
    </row>
    <row r="149" spans="1:18" s="12" customFormat="1" ht="14.25" customHeight="1" x14ac:dyDescent="0.25">
      <c r="A149" s="90" t="s">
        <v>208</v>
      </c>
      <c r="B149" s="32"/>
      <c r="C149" s="132" t="s">
        <v>159</v>
      </c>
      <c r="H149" s="218"/>
      <c r="I149" s="218"/>
      <c r="J149" s="218"/>
      <c r="K149" s="218"/>
      <c r="L149" s="218"/>
      <c r="M149" s="218"/>
      <c r="N149" s="218"/>
      <c r="O149" s="218"/>
      <c r="P149" s="218"/>
      <c r="Q149" s="218"/>
    </row>
    <row r="150" spans="1:18" s="12" customFormat="1" ht="14.25" customHeight="1" x14ac:dyDescent="0.25">
      <c r="A150" s="12" t="s">
        <v>209</v>
      </c>
      <c r="B150" s="32"/>
      <c r="C150" s="12" t="s">
        <v>138</v>
      </c>
      <c r="H150" s="218">
        <f t="shared" ref="H150:Q150" si="29">IFERROR(IF($B$7=1,($B$22*$B$23*H29)*(H144),($B$22*H24*H29)*(H144)),0)</f>
        <v>0</v>
      </c>
      <c r="I150" s="218">
        <f t="shared" si="29"/>
        <v>0</v>
      </c>
      <c r="J150" s="218">
        <f t="shared" si="29"/>
        <v>0</v>
      </c>
      <c r="K150" s="218">
        <f t="shared" si="29"/>
        <v>0</v>
      </c>
      <c r="L150" s="218">
        <f t="shared" si="29"/>
        <v>0</v>
      </c>
      <c r="M150" s="218">
        <f t="shared" si="29"/>
        <v>0</v>
      </c>
      <c r="N150" s="218">
        <f t="shared" si="29"/>
        <v>0</v>
      </c>
      <c r="O150" s="218">
        <f t="shared" si="29"/>
        <v>0</v>
      </c>
      <c r="P150" s="218">
        <f t="shared" si="29"/>
        <v>0</v>
      </c>
      <c r="Q150" s="218">
        <f t="shared" si="29"/>
        <v>0</v>
      </c>
    </row>
    <row r="151" spans="1:18" s="12" customFormat="1" ht="14.25" customHeight="1" x14ac:dyDescent="0.25">
      <c r="A151" s="231" t="s">
        <v>210</v>
      </c>
      <c r="B151" s="32"/>
      <c r="C151" s="12" t="s">
        <v>138</v>
      </c>
      <c r="H151" s="218">
        <f t="shared" ref="H151:Q151" si="30">IFERROR(IF($B$7=1,($B$22*$B$23*H29)*H101,($B$22*H24*H29)*H101),0)</f>
        <v>0</v>
      </c>
      <c r="I151" s="218">
        <f t="shared" si="30"/>
        <v>0</v>
      </c>
      <c r="J151" s="218">
        <f t="shared" si="30"/>
        <v>0</v>
      </c>
      <c r="K151" s="218">
        <f t="shared" si="30"/>
        <v>0</v>
      </c>
      <c r="L151" s="218">
        <f t="shared" si="30"/>
        <v>0</v>
      </c>
      <c r="M151" s="218">
        <f t="shared" si="30"/>
        <v>0</v>
      </c>
      <c r="N151" s="218">
        <f t="shared" si="30"/>
        <v>0</v>
      </c>
      <c r="O151" s="218">
        <f t="shared" si="30"/>
        <v>0</v>
      </c>
      <c r="P151" s="218">
        <f t="shared" si="30"/>
        <v>0</v>
      </c>
      <c r="Q151" s="218">
        <f t="shared" si="30"/>
        <v>0</v>
      </c>
    </row>
    <row r="152" spans="1:18" s="12" customFormat="1" ht="14.25" customHeight="1" x14ac:dyDescent="0.25">
      <c r="A152" s="231" t="s">
        <v>155</v>
      </c>
      <c r="B152" s="32"/>
      <c r="C152" s="12" t="s">
        <v>138</v>
      </c>
      <c r="D152" s="218">
        <f t="shared" ref="D152:Q152" si="31">D61</f>
        <v>0</v>
      </c>
      <c r="E152" s="218">
        <f t="shared" si="31"/>
        <v>0</v>
      </c>
      <c r="F152" s="218">
        <f t="shared" si="31"/>
        <v>0</v>
      </c>
      <c r="G152" s="218">
        <f t="shared" si="31"/>
        <v>0</v>
      </c>
      <c r="H152" s="218">
        <f t="shared" si="31"/>
        <v>0</v>
      </c>
      <c r="I152" s="218">
        <f t="shared" si="31"/>
        <v>0</v>
      </c>
      <c r="J152" s="218">
        <f t="shared" si="31"/>
        <v>0</v>
      </c>
      <c r="K152" s="218">
        <f t="shared" si="31"/>
        <v>0</v>
      </c>
      <c r="L152" s="218">
        <f t="shared" si="31"/>
        <v>0</v>
      </c>
      <c r="M152" s="218">
        <f t="shared" si="31"/>
        <v>0</v>
      </c>
      <c r="N152" s="218">
        <f t="shared" si="31"/>
        <v>0</v>
      </c>
      <c r="O152" s="218">
        <f t="shared" si="31"/>
        <v>0</v>
      </c>
      <c r="P152" s="218">
        <f t="shared" si="31"/>
        <v>0</v>
      </c>
      <c r="Q152" s="218">
        <f t="shared" si="31"/>
        <v>0</v>
      </c>
    </row>
    <row r="153" spans="1:18" s="12" customFormat="1" ht="10.9" customHeight="1" x14ac:dyDescent="0.25">
      <c r="A153" s="21" t="s">
        <v>156</v>
      </c>
      <c r="B153" s="32"/>
      <c r="C153" s="12" t="s">
        <v>138</v>
      </c>
      <c r="D153" s="218"/>
      <c r="E153" s="218"/>
      <c r="F153" s="218"/>
      <c r="G153" s="218"/>
      <c r="H153" s="218">
        <f t="shared" ref="H153:Q153" si="32">IFERROR(H62*H29*$B$22,0)</f>
        <v>0</v>
      </c>
      <c r="I153" s="218">
        <f t="shared" si="32"/>
        <v>0</v>
      </c>
      <c r="J153" s="218">
        <f t="shared" si="32"/>
        <v>0</v>
      </c>
      <c r="K153" s="218">
        <f t="shared" si="32"/>
        <v>0</v>
      </c>
      <c r="L153" s="218">
        <f t="shared" si="32"/>
        <v>0</v>
      </c>
      <c r="M153" s="218">
        <f t="shared" si="32"/>
        <v>0</v>
      </c>
      <c r="N153" s="218">
        <f t="shared" si="32"/>
        <v>0</v>
      </c>
      <c r="O153" s="218">
        <f t="shared" si="32"/>
        <v>0</v>
      </c>
      <c r="P153" s="218">
        <f t="shared" si="32"/>
        <v>0</v>
      </c>
      <c r="Q153" s="218">
        <f t="shared" si="32"/>
        <v>0</v>
      </c>
    </row>
    <row r="154" spans="1:18" s="12" customFormat="1" ht="14.25" customHeight="1" x14ac:dyDescent="0.25">
      <c r="A154" s="229" t="s">
        <v>211</v>
      </c>
      <c r="B154" s="234"/>
      <c r="C154" s="234" t="s">
        <v>138</v>
      </c>
      <c r="D154" s="235">
        <f t="shared" ref="D154:Q154" si="33">SUM(D150:D153)</f>
        <v>0</v>
      </c>
      <c r="E154" s="235">
        <f t="shared" si="33"/>
        <v>0</v>
      </c>
      <c r="F154" s="235">
        <f t="shared" si="33"/>
        <v>0</v>
      </c>
      <c r="G154" s="235">
        <f t="shared" si="33"/>
        <v>0</v>
      </c>
      <c r="H154" s="235">
        <f t="shared" si="33"/>
        <v>0</v>
      </c>
      <c r="I154" s="235">
        <f t="shared" si="33"/>
        <v>0</v>
      </c>
      <c r="J154" s="235">
        <f t="shared" si="33"/>
        <v>0</v>
      </c>
      <c r="K154" s="235">
        <f t="shared" si="33"/>
        <v>0</v>
      </c>
      <c r="L154" s="235">
        <f t="shared" si="33"/>
        <v>0</v>
      </c>
      <c r="M154" s="235">
        <f t="shared" si="33"/>
        <v>0</v>
      </c>
      <c r="N154" s="235">
        <f t="shared" si="33"/>
        <v>0</v>
      </c>
      <c r="O154" s="235">
        <f t="shared" si="33"/>
        <v>0</v>
      </c>
      <c r="P154" s="235">
        <f t="shared" si="33"/>
        <v>0</v>
      </c>
      <c r="Q154" s="235">
        <f t="shared" si="33"/>
        <v>0</v>
      </c>
      <c r="R154" s="207"/>
    </row>
    <row r="155" spans="1:18" s="12" customFormat="1" ht="14.25" customHeight="1" x14ac:dyDescent="0.25"/>
    <row r="156" spans="1:18" s="12" customFormat="1" ht="14.25" customHeight="1" x14ac:dyDescent="0.25">
      <c r="A156" s="202" t="s">
        <v>212</v>
      </c>
      <c r="B156" s="184"/>
      <c r="C156" s="132" t="s">
        <v>159</v>
      </c>
      <c r="G156" s="183"/>
      <c r="H156" s="236"/>
      <c r="I156" s="236"/>
      <c r="J156" s="236"/>
      <c r="K156" s="236"/>
      <c r="L156" s="236"/>
      <c r="M156" s="236"/>
      <c r="N156" s="236"/>
      <c r="O156" s="236"/>
      <c r="P156" s="236"/>
      <c r="Q156" s="236"/>
    </row>
    <row r="157" spans="1:18" s="12" customFormat="1" ht="14.25" customHeight="1" x14ac:dyDescent="0.25">
      <c r="A157" s="229" t="s">
        <v>213</v>
      </c>
      <c r="B157" s="229"/>
      <c r="C157" s="229"/>
      <c r="D157" s="229"/>
      <c r="E157" s="229"/>
      <c r="F157" s="229"/>
      <c r="G157" s="229"/>
      <c r="H157" s="229"/>
      <c r="I157" s="229"/>
      <c r="J157" s="229"/>
      <c r="K157" s="229"/>
      <c r="L157" s="229"/>
      <c r="M157" s="229"/>
      <c r="N157" s="229"/>
      <c r="O157" s="229"/>
      <c r="P157" s="229"/>
      <c r="Q157" s="229"/>
    </row>
    <row r="158" spans="1:18" s="12" customFormat="1" ht="14.25" customHeight="1" x14ac:dyDescent="0.25">
      <c r="A158" s="12" t="s">
        <v>214</v>
      </c>
      <c r="B158" s="32"/>
      <c r="C158" s="12" t="s">
        <v>138</v>
      </c>
      <c r="H158" s="218">
        <f t="shared" ref="H158:Q158" si="34">-ABS(SUM($D$35:$G$35))/$B$76</f>
        <v>0</v>
      </c>
      <c r="I158" s="218">
        <f t="shared" si="34"/>
        <v>0</v>
      </c>
      <c r="J158" s="218">
        <f t="shared" si="34"/>
        <v>0</v>
      </c>
      <c r="K158" s="218">
        <f t="shared" si="34"/>
        <v>0</v>
      </c>
      <c r="L158" s="218">
        <f t="shared" si="34"/>
        <v>0</v>
      </c>
      <c r="M158" s="218">
        <f t="shared" si="34"/>
        <v>0</v>
      </c>
      <c r="N158" s="218">
        <f t="shared" si="34"/>
        <v>0</v>
      </c>
      <c r="O158" s="218">
        <f t="shared" si="34"/>
        <v>0</v>
      </c>
      <c r="P158" s="218">
        <f t="shared" si="34"/>
        <v>0</v>
      </c>
      <c r="Q158" s="218">
        <f t="shared" si="34"/>
        <v>0</v>
      </c>
      <c r="R158" s="93"/>
    </row>
    <row r="159" spans="1:18" s="12" customFormat="1" ht="14.25" customHeight="1" x14ac:dyDescent="0.25">
      <c r="A159" s="231" t="s">
        <v>215</v>
      </c>
      <c r="B159" s="231"/>
      <c r="C159" s="12" t="s">
        <v>138</v>
      </c>
      <c r="F159" s="183"/>
      <c r="G159" s="231"/>
      <c r="H159" s="237">
        <f t="shared" ref="H159:Q159" ca="1" si="35">H147+H158</f>
        <v>0</v>
      </c>
      <c r="I159" s="237">
        <f t="shared" ca="1" si="35"/>
        <v>0</v>
      </c>
      <c r="J159" s="237">
        <f t="shared" ca="1" si="35"/>
        <v>0</v>
      </c>
      <c r="K159" s="237">
        <f t="shared" ca="1" si="35"/>
        <v>0</v>
      </c>
      <c r="L159" s="237">
        <f t="shared" ca="1" si="35"/>
        <v>0</v>
      </c>
      <c r="M159" s="237">
        <f t="shared" ca="1" si="35"/>
        <v>0</v>
      </c>
      <c r="N159" s="237">
        <f t="shared" ca="1" si="35"/>
        <v>0</v>
      </c>
      <c r="O159" s="237">
        <f t="shared" ca="1" si="35"/>
        <v>0</v>
      </c>
      <c r="P159" s="237">
        <f t="shared" ca="1" si="35"/>
        <v>0</v>
      </c>
      <c r="Q159" s="237">
        <f t="shared" ca="1" si="35"/>
        <v>0</v>
      </c>
    </row>
    <row r="160" spans="1:18" s="12" customFormat="1" ht="14.25" customHeight="1" x14ac:dyDescent="0.25">
      <c r="A160" s="183" t="s">
        <v>216</v>
      </c>
      <c r="B160" s="184"/>
      <c r="C160" s="183" t="s">
        <v>138</v>
      </c>
      <c r="D160" s="183"/>
      <c r="E160" s="183"/>
      <c r="G160" s="236"/>
      <c r="H160" s="236">
        <f t="shared" ref="H160:Q160" ca="1" si="36">H154+H159</f>
        <v>0</v>
      </c>
      <c r="I160" s="236">
        <f t="shared" ca="1" si="36"/>
        <v>0</v>
      </c>
      <c r="J160" s="236">
        <f t="shared" ca="1" si="36"/>
        <v>0</v>
      </c>
      <c r="K160" s="236">
        <f t="shared" ca="1" si="36"/>
        <v>0</v>
      </c>
      <c r="L160" s="236">
        <f t="shared" ca="1" si="36"/>
        <v>0</v>
      </c>
      <c r="M160" s="236">
        <f t="shared" ca="1" si="36"/>
        <v>0</v>
      </c>
      <c r="N160" s="236">
        <f t="shared" ca="1" si="36"/>
        <v>0</v>
      </c>
      <c r="O160" s="236">
        <f t="shared" ca="1" si="36"/>
        <v>0</v>
      </c>
      <c r="P160" s="236">
        <f t="shared" ca="1" si="36"/>
        <v>0</v>
      </c>
      <c r="Q160" s="236">
        <f t="shared" ca="1" si="36"/>
        <v>0</v>
      </c>
      <c r="R160" s="219"/>
    </row>
    <row r="161" spans="1:20" s="12" customFormat="1" ht="14.25" customHeight="1" x14ac:dyDescent="0.25">
      <c r="A161" s="229" t="s">
        <v>217</v>
      </c>
      <c r="B161" s="234"/>
      <c r="C161" s="234" t="s">
        <v>138</v>
      </c>
      <c r="D161" s="238"/>
      <c r="E161" s="238"/>
      <c r="F161" s="238"/>
      <c r="G161" s="238"/>
      <c r="H161" s="253">
        <f t="shared" ref="H161:Q161" ca="1" si="37">H160*$B$82-H63</f>
        <v>0</v>
      </c>
      <c r="I161" s="253">
        <f t="shared" ca="1" si="37"/>
        <v>0</v>
      </c>
      <c r="J161" s="253">
        <f t="shared" ca="1" si="37"/>
        <v>0</v>
      </c>
      <c r="K161" s="253">
        <f t="shared" ca="1" si="37"/>
        <v>0</v>
      </c>
      <c r="L161" s="253">
        <f t="shared" ca="1" si="37"/>
        <v>0</v>
      </c>
      <c r="M161" s="253">
        <f t="shared" ca="1" si="37"/>
        <v>0</v>
      </c>
      <c r="N161" s="253">
        <f t="shared" ca="1" si="37"/>
        <v>0</v>
      </c>
      <c r="O161" s="253">
        <f t="shared" ca="1" si="37"/>
        <v>0</v>
      </c>
      <c r="P161" s="253">
        <f t="shared" ca="1" si="37"/>
        <v>0</v>
      </c>
      <c r="Q161" s="253">
        <f t="shared" ca="1" si="37"/>
        <v>0</v>
      </c>
    </row>
    <row r="162" spans="1:20" s="12" customFormat="1" ht="14.25" customHeight="1" x14ac:dyDescent="0.25">
      <c r="A162" s="183"/>
      <c r="B162" s="184"/>
      <c r="G162" s="183"/>
      <c r="H162" s="236"/>
      <c r="I162" s="236"/>
      <c r="J162" s="236"/>
      <c r="K162" s="236"/>
      <c r="L162" s="236"/>
      <c r="M162" s="236"/>
      <c r="N162" s="236"/>
      <c r="O162" s="236"/>
      <c r="P162" s="236"/>
      <c r="Q162" s="236"/>
    </row>
    <row r="163" spans="1:20" s="12" customFormat="1" ht="14.25" customHeight="1" x14ac:dyDescent="0.25">
      <c r="A163" s="90" t="s">
        <v>218</v>
      </c>
      <c r="B163" s="32"/>
      <c r="C163" s="132" t="s">
        <v>159</v>
      </c>
      <c r="T163" s="239"/>
    </row>
    <row r="164" spans="1:20" s="12" customFormat="1" ht="14.25" customHeight="1" x14ac:dyDescent="0.25">
      <c r="A164" s="229" t="s">
        <v>219</v>
      </c>
      <c r="B164" s="229"/>
      <c r="C164" s="229"/>
      <c r="D164" s="229"/>
      <c r="E164" s="229"/>
      <c r="F164" s="229"/>
      <c r="G164" s="229"/>
      <c r="H164" s="229"/>
      <c r="I164" s="229"/>
      <c r="J164" s="229"/>
      <c r="K164" s="229"/>
      <c r="L164" s="229"/>
      <c r="M164" s="229"/>
      <c r="N164" s="229"/>
      <c r="O164" s="229"/>
      <c r="P164" s="229"/>
      <c r="Q164" s="229"/>
      <c r="T164" s="239"/>
    </row>
    <row r="165" spans="1:20" s="12" customFormat="1" ht="14.25" customHeight="1" x14ac:dyDescent="0.25">
      <c r="A165" s="183" t="s">
        <v>220</v>
      </c>
      <c r="B165" s="184"/>
      <c r="C165" s="12" t="s">
        <v>138</v>
      </c>
      <c r="D165" s="186">
        <f t="shared" ref="D165:Q165" si="38">D147+D154-D161</f>
        <v>0</v>
      </c>
      <c r="E165" s="186">
        <f t="shared" si="38"/>
        <v>0</v>
      </c>
      <c r="F165" s="186">
        <f t="shared" si="38"/>
        <v>0</v>
      </c>
      <c r="G165" s="186">
        <f t="shared" si="38"/>
        <v>0</v>
      </c>
      <c r="H165" s="186">
        <f t="shared" ca="1" si="38"/>
        <v>0</v>
      </c>
      <c r="I165" s="186">
        <f t="shared" ca="1" si="38"/>
        <v>0</v>
      </c>
      <c r="J165" s="186">
        <f t="shared" ca="1" si="38"/>
        <v>0</v>
      </c>
      <c r="K165" s="186">
        <f t="shared" ca="1" si="38"/>
        <v>0</v>
      </c>
      <c r="L165" s="186">
        <f t="shared" ca="1" si="38"/>
        <v>0</v>
      </c>
      <c r="M165" s="186">
        <f t="shared" ca="1" si="38"/>
        <v>0</v>
      </c>
      <c r="N165" s="186">
        <f t="shared" ca="1" si="38"/>
        <v>0</v>
      </c>
      <c r="O165" s="186">
        <f t="shared" ca="1" si="38"/>
        <v>0</v>
      </c>
      <c r="P165" s="186">
        <f t="shared" ca="1" si="38"/>
        <v>0</v>
      </c>
      <c r="Q165" s="186">
        <f t="shared" ca="1" si="38"/>
        <v>0</v>
      </c>
    </row>
    <row r="166" spans="1:20" s="12" customFormat="1" ht="14.25" customHeight="1" x14ac:dyDescent="0.25">
      <c r="A166" s="183" t="s">
        <v>221</v>
      </c>
      <c r="B166" s="183"/>
      <c r="C166" s="12" t="s">
        <v>138</v>
      </c>
      <c r="D166" s="186">
        <f>D165</f>
        <v>0</v>
      </c>
      <c r="E166" s="186">
        <f>E165</f>
        <v>0</v>
      </c>
      <c r="F166" s="186">
        <f>F165</f>
        <v>0</v>
      </c>
      <c r="G166" s="186">
        <f>G165</f>
        <v>0</v>
      </c>
      <c r="H166" s="186">
        <f t="shared" ref="H166:Q166" ca="1" si="39">H165+H87</f>
        <v>0</v>
      </c>
      <c r="I166" s="186">
        <f t="shared" ca="1" si="39"/>
        <v>0</v>
      </c>
      <c r="J166" s="186">
        <f t="shared" ca="1" si="39"/>
        <v>0</v>
      </c>
      <c r="K166" s="186">
        <f t="shared" ca="1" si="39"/>
        <v>0</v>
      </c>
      <c r="L166" s="186">
        <f t="shared" ca="1" si="39"/>
        <v>0</v>
      </c>
      <c r="M166" s="186">
        <f t="shared" ca="1" si="39"/>
        <v>0</v>
      </c>
      <c r="N166" s="186">
        <f t="shared" ca="1" si="39"/>
        <v>0</v>
      </c>
      <c r="O166" s="186">
        <f t="shared" ca="1" si="39"/>
        <v>0</v>
      </c>
      <c r="P166" s="186">
        <f t="shared" ca="1" si="39"/>
        <v>0</v>
      </c>
      <c r="Q166" s="186">
        <f t="shared" ca="1" si="39"/>
        <v>0</v>
      </c>
      <c r="R166" s="240"/>
      <c r="S166" s="183"/>
      <c r="T166" s="183"/>
    </row>
    <row r="167" spans="1:20" s="12" customFormat="1" ht="14.25" customHeight="1" x14ac:dyDescent="0.25">
      <c r="A167" s="183" t="s">
        <v>222</v>
      </c>
      <c r="B167" s="184"/>
      <c r="C167" s="12" t="s">
        <v>138</v>
      </c>
      <c r="G167" s="186"/>
      <c r="H167" s="186"/>
      <c r="I167" s="186"/>
      <c r="J167" s="186"/>
      <c r="K167" s="186"/>
      <c r="L167" s="186"/>
      <c r="M167" s="186"/>
      <c r="N167" s="186"/>
      <c r="O167" s="186"/>
      <c r="P167" s="186"/>
      <c r="Q167" s="186"/>
      <c r="R167" s="219"/>
      <c r="S167" s="183"/>
      <c r="T167" s="183"/>
    </row>
    <row r="168" spans="1:20" s="12" customFormat="1" ht="14.25" customHeight="1" x14ac:dyDescent="0.25">
      <c r="A168" s="90"/>
      <c r="B168" s="32"/>
      <c r="R168" s="240"/>
    </row>
    <row r="169" spans="1:20" s="12" customFormat="1" ht="14.25" customHeight="1" x14ac:dyDescent="0.25">
      <c r="A169" s="90" t="s">
        <v>223</v>
      </c>
      <c r="B169" s="32"/>
      <c r="C169" s="132" t="s">
        <v>159</v>
      </c>
      <c r="D169" s="175"/>
      <c r="E169" s="175"/>
      <c r="F169" s="175"/>
      <c r="G169" s="175"/>
      <c r="H169" s="175"/>
      <c r="I169" s="175"/>
      <c r="J169" s="175"/>
      <c r="K169" s="175"/>
      <c r="L169" s="175"/>
      <c r="M169" s="175"/>
      <c r="N169" s="175"/>
      <c r="O169" s="175"/>
      <c r="P169" s="175"/>
      <c r="Q169" s="175"/>
      <c r="R169" s="240"/>
    </row>
    <row r="170" spans="1:20" s="12" customFormat="1" ht="14.25" customHeight="1" x14ac:dyDescent="0.25">
      <c r="A170" s="229" t="s">
        <v>224</v>
      </c>
      <c r="B170" s="229"/>
      <c r="C170" s="230"/>
      <c r="D170" s="230"/>
      <c r="E170" s="230"/>
      <c r="F170" s="230"/>
      <c r="G170" s="230"/>
      <c r="H170" s="230"/>
      <c r="I170" s="230"/>
      <c r="J170" s="230"/>
      <c r="K170" s="230"/>
      <c r="L170" s="230"/>
      <c r="M170" s="230"/>
      <c r="N170" s="230"/>
      <c r="O170" s="230"/>
      <c r="P170" s="230"/>
      <c r="Q170" s="230"/>
      <c r="R170" s="241"/>
    </row>
    <row r="171" spans="1:20" s="12" customFormat="1" ht="14.25" customHeight="1" x14ac:dyDescent="0.25">
      <c r="A171" s="183" t="s">
        <v>225</v>
      </c>
      <c r="B171" s="177"/>
      <c r="C171" s="185"/>
      <c r="D171" s="242">
        <f t="shared" ref="D171:P171" si="40">E171*(1+E83)</f>
        <v>2.5684363606989304</v>
      </c>
      <c r="E171" s="242">
        <f t="shared" si="40"/>
        <v>2.3886681793558346</v>
      </c>
      <c r="F171" s="242">
        <f t="shared" si="40"/>
        <v>2.2214822054280745</v>
      </c>
      <c r="G171" s="242">
        <f t="shared" si="40"/>
        <v>2.0659977939524552</v>
      </c>
      <c r="H171" s="242">
        <f t="shared" si="40"/>
        <v>1.9213959374452476</v>
      </c>
      <c r="I171" s="242">
        <f t="shared" si="40"/>
        <v>1.7869149518153167</v>
      </c>
      <c r="J171" s="242">
        <f t="shared" si="40"/>
        <v>1.661846464225766</v>
      </c>
      <c r="K171" s="242">
        <f t="shared" si="40"/>
        <v>1.5455316817703331</v>
      </c>
      <c r="L171" s="242">
        <f t="shared" si="40"/>
        <v>1.4373579213099481</v>
      </c>
      <c r="M171" s="242">
        <f t="shared" si="40"/>
        <v>1.3367553821905176</v>
      </c>
      <c r="N171" s="242">
        <f t="shared" si="40"/>
        <v>1.2431941448423625</v>
      </c>
      <c r="O171" s="242">
        <f t="shared" si="40"/>
        <v>1.1561813794515623</v>
      </c>
      <c r="P171" s="242">
        <f t="shared" si="40"/>
        <v>1.0752587499999999</v>
      </c>
      <c r="Q171" s="185">
        <f>1</f>
        <v>1</v>
      </c>
      <c r="R171" s="241"/>
    </row>
    <row r="172" spans="1:20" s="12" customFormat="1" ht="14.25" customHeight="1" x14ac:dyDescent="0.25">
      <c r="A172" s="183" t="s">
        <v>226</v>
      </c>
      <c r="B172" s="183"/>
      <c r="C172" s="12" t="s">
        <v>138</v>
      </c>
      <c r="D172" s="243">
        <f t="shared" ref="D172:Q172" si="41">D166*D171</f>
        <v>0</v>
      </c>
      <c r="E172" s="243">
        <f t="shared" si="41"/>
        <v>0</v>
      </c>
      <c r="F172" s="243">
        <f t="shared" si="41"/>
        <v>0</v>
      </c>
      <c r="G172" s="243">
        <f t="shared" si="41"/>
        <v>0</v>
      </c>
      <c r="H172" s="243">
        <f t="shared" ca="1" si="41"/>
        <v>0</v>
      </c>
      <c r="I172" s="243">
        <f t="shared" ca="1" si="41"/>
        <v>0</v>
      </c>
      <c r="J172" s="243">
        <f t="shared" ca="1" si="41"/>
        <v>0</v>
      </c>
      <c r="K172" s="243">
        <f t="shared" ca="1" si="41"/>
        <v>0</v>
      </c>
      <c r="L172" s="243">
        <f t="shared" ca="1" si="41"/>
        <v>0</v>
      </c>
      <c r="M172" s="243">
        <f t="shared" ca="1" si="41"/>
        <v>0</v>
      </c>
      <c r="N172" s="243">
        <f t="shared" ca="1" si="41"/>
        <v>0</v>
      </c>
      <c r="O172" s="243">
        <f t="shared" ca="1" si="41"/>
        <v>0</v>
      </c>
      <c r="P172" s="243">
        <f t="shared" ca="1" si="41"/>
        <v>0</v>
      </c>
      <c r="Q172" s="243">
        <f t="shared" ca="1" si="41"/>
        <v>0</v>
      </c>
      <c r="R172" s="241"/>
      <c r="S172" s="183"/>
      <c r="T172" s="183"/>
    </row>
    <row r="173" spans="1:20" s="12" customFormat="1" ht="14.25" customHeight="1" x14ac:dyDescent="0.25">
      <c r="A173" s="183" t="s">
        <v>227</v>
      </c>
      <c r="B173" s="183"/>
      <c r="C173" s="12" t="s">
        <v>138</v>
      </c>
      <c r="G173" s="243"/>
      <c r="H173" s="243"/>
      <c r="I173" s="243"/>
      <c r="J173" s="243"/>
      <c r="K173" s="243"/>
      <c r="L173" s="243"/>
      <c r="M173" s="243"/>
      <c r="N173" s="243"/>
      <c r="O173" s="243"/>
      <c r="P173" s="243"/>
      <c r="Q173" s="243">
        <f ca="1">SUM(D172:Q172)</f>
        <v>0</v>
      </c>
      <c r="R173" s="277"/>
      <c r="S173" s="244"/>
      <c r="T173" s="245"/>
    </row>
    <row r="174" spans="1:20" s="12" customFormat="1" ht="14.25" customHeight="1" x14ac:dyDescent="0.25">
      <c r="A174" s="183" t="s">
        <v>228</v>
      </c>
      <c r="B174" s="183"/>
      <c r="C174" s="12" t="s">
        <v>138</v>
      </c>
      <c r="G174" s="243"/>
      <c r="H174" s="243"/>
      <c r="I174" s="243"/>
      <c r="J174" s="243"/>
      <c r="K174" s="243"/>
      <c r="L174" s="243"/>
      <c r="M174" s="243"/>
      <c r="N174" s="243"/>
      <c r="O174" s="243"/>
      <c r="P174" s="243"/>
      <c r="Q174" s="243">
        <f>0</f>
        <v>0</v>
      </c>
      <c r="R174" s="219"/>
      <c r="S174" s="244"/>
      <c r="T174" s="245"/>
    </row>
    <row r="175" spans="1:20" s="12" customFormat="1" ht="14.25" customHeight="1" x14ac:dyDescent="0.25">
      <c r="A175" s="183" t="s">
        <v>229</v>
      </c>
      <c r="B175" s="183"/>
      <c r="C175" s="12" t="s">
        <v>138</v>
      </c>
      <c r="G175" s="243"/>
      <c r="H175" s="243"/>
      <c r="I175" s="243"/>
      <c r="J175" s="243"/>
      <c r="K175" s="243"/>
      <c r="L175" s="243"/>
      <c r="M175" s="243"/>
      <c r="N175" s="243"/>
      <c r="O175" s="243"/>
      <c r="P175" s="243"/>
      <c r="Q175" s="243">
        <f ca="1">Q173+Q174</f>
        <v>0</v>
      </c>
      <c r="R175" s="207"/>
      <c r="S175" s="244"/>
      <c r="T175" s="245"/>
    </row>
    <row r="176" spans="1:20" s="12" customFormat="1" ht="14.25" customHeight="1" x14ac:dyDescent="0.25">
      <c r="A176" s="12" t="s">
        <v>230</v>
      </c>
      <c r="B176" s="32"/>
      <c r="C176" s="12" t="s">
        <v>138</v>
      </c>
      <c r="G176" s="218"/>
      <c r="H176" s="218">
        <f ca="1">IF($Q$175&gt;0,$Q$175/H171-NPV(H83,I87:$R$87),0)</f>
        <v>0</v>
      </c>
      <c r="I176" s="218">
        <f ca="1">IF($Q$175&gt;0,$Q$175/I171-NPV(I83,J87:$R$87),0)</f>
        <v>0</v>
      </c>
      <c r="J176" s="218">
        <f ca="1">IF($Q$175&gt;0,$Q$175/J171-NPV(J83,K87:$R$87),0)</f>
        <v>0</v>
      </c>
      <c r="K176" s="218">
        <f ca="1">IF($Q$175&gt;0,$Q$175/K171-NPV(K83,L87:$R$87),0)</f>
        <v>0</v>
      </c>
      <c r="L176" s="218">
        <f ca="1">IF($Q$175&gt;0,$Q$175/L171-NPV(L83,M87:$R$87),0)</f>
        <v>0</v>
      </c>
      <c r="M176" s="218">
        <f ca="1">IF($Q$175&gt;0,$Q$175/M171-NPV(M83,N87:$R$87),0)</f>
        <v>0</v>
      </c>
      <c r="N176" s="218">
        <f ca="1">IF($Q$175&gt;0,$Q$175/N171-NPV(N83,O87:$R$87),0)</f>
        <v>0</v>
      </c>
      <c r="O176" s="218">
        <f ca="1">IF($Q$175&gt;0,$Q$175/O171-NPV(O83,P87:$R$87),0)</f>
        <v>0</v>
      </c>
      <c r="P176" s="218">
        <f ca="1">IF($Q$175&gt;0,$Q$175/P171-NPV(P83,Q87:$R$87),0)</f>
        <v>0</v>
      </c>
      <c r="Q176" s="218">
        <f ca="1">IF($Q$175&gt;0,$Q$175/Q171-NPV(Q83,R87:$R$87),0)</f>
        <v>0</v>
      </c>
      <c r="R176" s="207"/>
      <c r="S176" s="277"/>
    </row>
    <row r="177" spans="1:20" s="12" customFormat="1" ht="14.25" customHeight="1" x14ac:dyDescent="0.25">
      <c r="A177" s="183"/>
      <c r="B177" s="183"/>
      <c r="D177" s="218"/>
      <c r="E177" s="218"/>
      <c r="F177" s="218"/>
      <c r="G177" s="218"/>
      <c r="H177" s="218"/>
      <c r="I177" s="218"/>
      <c r="J177" s="218"/>
      <c r="K177" s="218"/>
      <c r="L177" s="218"/>
      <c r="M177" s="218"/>
      <c r="N177" s="218"/>
      <c r="O177" s="218"/>
      <c r="P177" s="218"/>
      <c r="Q177" s="218"/>
      <c r="R177" s="241"/>
      <c r="S177" s="183"/>
      <c r="T177" s="183"/>
    </row>
    <row r="178" spans="1:20" s="12" customFormat="1" ht="14.25" customHeight="1" x14ac:dyDescent="0.25">
      <c r="A178" s="229" t="s">
        <v>231</v>
      </c>
      <c r="B178" s="229"/>
      <c r="C178" s="230"/>
      <c r="D178" s="230"/>
      <c r="E178" s="230"/>
      <c r="F178" s="230"/>
      <c r="G178" s="230"/>
      <c r="H178" s="230"/>
      <c r="I178" s="230"/>
      <c r="J178" s="230"/>
      <c r="K178" s="230"/>
      <c r="L178" s="230"/>
      <c r="M178" s="230"/>
      <c r="N178" s="230"/>
      <c r="O178" s="230"/>
      <c r="P178" s="230"/>
      <c r="Q178" s="230"/>
    </row>
    <row r="179" spans="1:20" s="12" customFormat="1" ht="14.25" customHeight="1" x14ac:dyDescent="0.25">
      <c r="A179" s="179" t="s">
        <v>232</v>
      </c>
      <c r="B179" s="179"/>
      <c r="C179" s="179" t="s">
        <v>138</v>
      </c>
      <c r="D179" s="179"/>
      <c r="E179" s="179"/>
      <c r="F179" s="179"/>
      <c r="G179" s="179"/>
      <c r="H179" s="246">
        <f t="shared" ref="H179:Q179" ca="1" si="42">IF(H176&gt;0,IF(H176&gt;=H87,IF(H87&gt;0,H87,0),H176),0)</f>
        <v>0</v>
      </c>
      <c r="I179" s="246">
        <f t="shared" ca="1" si="42"/>
        <v>0</v>
      </c>
      <c r="J179" s="246">
        <f t="shared" ca="1" si="42"/>
        <v>0</v>
      </c>
      <c r="K179" s="246">
        <f t="shared" ca="1" si="42"/>
        <v>0</v>
      </c>
      <c r="L179" s="246">
        <f t="shared" ca="1" si="42"/>
        <v>0</v>
      </c>
      <c r="M179" s="246">
        <f t="shared" ca="1" si="42"/>
        <v>0</v>
      </c>
      <c r="N179" s="246">
        <f t="shared" ca="1" si="42"/>
        <v>0</v>
      </c>
      <c r="O179" s="246">
        <f t="shared" ca="1" si="42"/>
        <v>0</v>
      </c>
      <c r="P179" s="246">
        <f t="shared" ca="1" si="42"/>
        <v>0</v>
      </c>
      <c r="Q179" s="246">
        <f t="shared" ca="1" si="42"/>
        <v>0</v>
      </c>
      <c r="R179" s="176"/>
    </row>
    <row r="180" spans="1:20" s="12" customFormat="1" ht="14.25" customHeight="1" x14ac:dyDescent="0.25">
      <c r="A180" s="12" t="s">
        <v>233</v>
      </c>
      <c r="B180" s="183"/>
      <c r="C180" s="12" t="s">
        <v>138</v>
      </c>
      <c r="G180" s="218"/>
      <c r="H180" s="197">
        <f t="shared" ref="H180:Q180" ca="1" si="43">H179+G180*(1+H84)</f>
        <v>0</v>
      </c>
      <c r="I180" s="197">
        <f t="shared" ca="1" si="43"/>
        <v>0</v>
      </c>
      <c r="J180" s="197">
        <f t="shared" ca="1" si="43"/>
        <v>0</v>
      </c>
      <c r="K180" s="197">
        <f t="shared" ca="1" si="43"/>
        <v>0</v>
      </c>
      <c r="L180" s="197">
        <f t="shared" ca="1" si="43"/>
        <v>0</v>
      </c>
      <c r="M180" s="197">
        <f t="shared" ca="1" si="43"/>
        <v>0</v>
      </c>
      <c r="N180" s="197">
        <f t="shared" ca="1" si="43"/>
        <v>0</v>
      </c>
      <c r="O180" s="197">
        <f t="shared" ca="1" si="43"/>
        <v>0</v>
      </c>
      <c r="P180" s="197">
        <f t="shared" ca="1" si="43"/>
        <v>0</v>
      </c>
      <c r="Q180" s="197">
        <f t="shared" ca="1" si="43"/>
        <v>0</v>
      </c>
      <c r="R180" s="219"/>
      <c r="S180" s="277"/>
    </row>
    <row r="181" spans="1:20" s="12" customFormat="1" ht="14.25" customHeight="1" x14ac:dyDescent="0.25">
      <c r="B181" s="183"/>
      <c r="C181" s="175"/>
      <c r="D181" s="175"/>
      <c r="E181" s="175"/>
      <c r="F181" s="175"/>
      <c r="G181" s="176"/>
      <c r="H181" s="176"/>
      <c r="I181" s="176"/>
      <c r="J181" s="176"/>
      <c r="K181" s="176"/>
      <c r="L181" s="176"/>
      <c r="M181" s="176"/>
      <c r="N181" s="176"/>
      <c r="O181" s="176"/>
      <c r="P181" s="176"/>
      <c r="Q181" s="176"/>
      <c r="R181" s="207"/>
      <c r="S181" s="277"/>
    </row>
    <row r="182" spans="1:20" s="12" customFormat="1" ht="14.25" customHeight="1" x14ac:dyDescent="0.25">
      <c r="B182" s="183"/>
      <c r="C182" s="175"/>
      <c r="D182" s="175"/>
      <c r="E182" s="175"/>
      <c r="F182" s="175"/>
      <c r="G182" s="176"/>
      <c r="H182" s="176"/>
      <c r="I182" s="176"/>
      <c r="J182" s="176"/>
      <c r="K182" s="176"/>
      <c r="L182" s="176"/>
      <c r="M182" s="176"/>
      <c r="N182" s="176"/>
      <c r="O182" s="176"/>
      <c r="P182" s="176"/>
      <c r="Q182" s="176"/>
      <c r="R182" s="207"/>
      <c r="S182" s="277"/>
    </row>
    <row r="183" spans="1:20" s="183" customFormat="1" ht="21" x14ac:dyDescent="0.35">
      <c r="A183" s="209" t="s">
        <v>234</v>
      </c>
      <c r="B183" s="210">
        <f ca="1">IF(Q180&gt;0,Q180,0)</f>
        <v>0</v>
      </c>
      <c r="D183" s="284" t="s">
        <v>235</v>
      </c>
      <c r="E183" s="248"/>
      <c r="F183" s="248"/>
      <c r="H183" s="186"/>
      <c r="I183" s="186"/>
      <c r="J183" s="186"/>
      <c r="K183" s="186"/>
      <c r="L183" s="186"/>
      <c r="M183" s="186"/>
      <c r="N183" s="186"/>
      <c r="O183" s="186"/>
      <c r="P183" s="186"/>
      <c r="Q183" s="186"/>
      <c r="R183" s="202"/>
    </row>
    <row r="184" spans="1:20" s="12" customFormat="1" ht="18.600000000000001" customHeight="1" x14ac:dyDescent="0.25">
      <c r="R184" s="207"/>
    </row>
    <row r="185" spans="1:20" s="12" customFormat="1" ht="18.600000000000001" customHeight="1" x14ac:dyDescent="0.25">
      <c r="B185" s="32"/>
    </row>
    <row r="186" spans="1:20" s="12" customFormat="1" ht="14.25" customHeight="1" x14ac:dyDescent="0.25">
      <c r="B186" s="32"/>
    </row>
    <row r="187" spans="1:20" s="12" customFormat="1" ht="14.25" customHeight="1" x14ac:dyDescent="0.25">
      <c r="B187" s="32"/>
    </row>
    <row r="188" spans="1:20" s="12" customFormat="1" ht="14.25" customHeight="1" x14ac:dyDescent="0.25">
      <c r="A188" s="90" t="s">
        <v>236</v>
      </c>
      <c r="B188" s="32"/>
      <c r="D188" s="249">
        <v>-4</v>
      </c>
      <c r="E188" s="249">
        <v>-3</v>
      </c>
      <c r="F188" s="249">
        <v>-2</v>
      </c>
      <c r="G188" s="249">
        <v>-1</v>
      </c>
      <c r="H188" s="250">
        <v>1</v>
      </c>
      <c r="I188" s="250">
        <v>2</v>
      </c>
      <c r="J188" s="250">
        <v>3</v>
      </c>
      <c r="K188" s="250">
        <v>4</v>
      </c>
      <c r="L188" s="250">
        <v>5</v>
      </c>
      <c r="M188" s="250">
        <v>6</v>
      </c>
      <c r="N188" s="250">
        <v>7</v>
      </c>
      <c r="O188" s="250">
        <v>8</v>
      </c>
      <c r="P188" s="250">
        <v>9</v>
      </c>
      <c r="Q188" s="250">
        <v>10</v>
      </c>
    </row>
    <row r="189" spans="1:20" s="12" customFormat="1" ht="14.25" customHeight="1" x14ac:dyDescent="0.35">
      <c r="A189" s="12" t="s">
        <v>61</v>
      </c>
      <c r="B189" s="183" t="s">
        <v>189</v>
      </c>
      <c r="H189" s="251" t="str">
        <f t="shared" ref="H189:Q189" si="44">$B$11</f>
        <v/>
      </c>
      <c r="I189" s="251" t="str">
        <f t="shared" si="44"/>
        <v/>
      </c>
      <c r="J189" s="251" t="str">
        <f t="shared" si="44"/>
        <v/>
      </c>
      <c r="K189" s="251" t="str">
        <f t="shared" si="44"/>
        <v/>
      </c>
      <c r="L189" s="251" t="str">
        <f t="shared" si="44"/>
        <v/>
      </c>
      <c r="M189" s="251" t="str">
        <f t="shared" si="44"/>
        <v/>
      </c>
      <c r="N189" s="251" t="str">
        <f t="shared" si="44"/>
        <v/>
      </c>
      <c r="O189" s="251" t="str">
        <f t="shared" si="44"/>
        <v/>
      </c>
      <c r="P189" s="251" t="str">
        <f t="shared" si="44"/>
        <v/>
      </c>
      <c r="Q189" s="251" t="str">
        <f t="shared" si="44"/>
        <v/>
      </c>
    </row>
    <row r="190" spans="1:20" s="12" customFormat="1" ht="14.25" customHeight="1" x14ac:dyDescent="0.35">
      <c r="A190" s="12" t="s">
        <v>237</v>
      </c>
      <c r="B190" s="183" t="s">
        <v>189</v>
      </c>
      <c r="H190" s="251">
        <f t="shared" ref="H190:Q190" si="45">$B$12</f>
        <v>0</v>
      </c>
      <c r="I190" s="251">
        <f t="shared" si="45"/>
        <v>0</v>
      </c>
      <c r="J190" s="251">
        <f t="shared" si="45"/>
        <v>0</v>
      </c>
      <c r="K190" s="251">
        <f t="shared" si="45"/>
        <v>0</v>
      </c>
      <c r="L190" s="251">
        <f t="shared" si="45"/>
        <v>0</v>
      </c>
      <c r="M190" s="251">
        <f t="shared" si="45"/>
        <v>0</v>
      </c>
      <c r="N190" s="251">
        <f t="shared" si="45"/>
        <v>0</v>
      </c>
      <c r="O190" s="251">
        <f t="shared" si="45"/>
        <v>0</v>
      </c>
      <c r="P190" s="251">
        <f t="shared" si="45"/>
        <v>0</v>
      </c>
      <c r="Q190" s="251">
        <f t="shared" si="45"/>
        <v>0</v>
      </c>
    </row>
    <row r="191" spans="1:20" s="12" customFormat="1" ht="14.25" customHeight="1" x14ac:dyDescent="0.35">
      <c r="A191" s="12" t="s">
        <v>158</v>
      </c>
      <c r="B191" s="183" t="s">
        <v>189</v>
      </c>
      <c r="H191" s="251" t="str">
        <f t="shared" ref="H191:Q191" si="46">H66</f>
        <v/>
      </c>
      <c r="I191" s="251" t="str">
        <f t="shared" si="46"/>
        <v/>
      </c>
      <c r="J191" s="251" t="str">
        <f t="shared" si="46"/>
        <v/>
      </c>
      <c r="K191" s="251" t="str">
        <f t="shared" si="46"/>
        <v/>
      </c>
      <c r="L191" s="251" t="str">
        <f t="shared" si="46"/>
        <v/>
      </c>
      <c r="M191" s="251" t="str">
        <f t="shared" si="46"/>
        <v/>
      </c>
      <c r="N191" s="251" t="str">
        <f t="shared" si="46"/>
        <v/>
      </c>
      <c r="O191" s="251" t="str">
        <f t="shared" si="46"/>
        <v/>
      </c>
      <c r="P191" s="251" t="str">
        <f t="shared" si="46"/>
        <v/>
      </c>
      <c r="Q191" s="251" t="str">
        <f t="shared" si="46"/>
        <v/>
      </c>
    </row>
    <row r="192" spans="1:20" s="12" customFormat="1" ht="14.25" customHeight="1" x14ac:dyDescent="0.35">
      <c r="A192" s="12" t="s">
        <v>192</v>
      </c>
      <c r="B192" s="183" t="s">
        <v>189</v>
      </c>
      <c r="H192" s="251" t="str">
        <f t="shared" ref="H192:Q192" ca="1" si="47">H117</f>
        <v/>
      </c>
      <c r="I192" s="251" t="str">
        <f t="shared" ca="1" si="47"/>
        <v/>
      </c>
      <c r="J192" s="251" t="str">
        <f t="shared" ca="1" si="47"/>
        <v/>
      </c>
      <c r="K192" s="251" t="str">
        <f t="shared" ca="1" si="47"/>
        <v/>
      </c>
      <c r="L192" s="251" t="str">
        <f t="shared" ca="1" si="47"/>
        <v/>
      </c>
      <c r="M192" s="251" t="str">
        <f t="shared" ca="1" si="47"/>
        <v/>
      </c>
      <c r="N192" s="251" t="str">
        <f t="shared" ca="1" si="47"/>
        <v/>
      </c>
      <c r="O192" s="251" t="str">
        <f t="shared" ca="1" si="47"/>
        <v/>
      </c>
      <c r="P192" s="251" t="str">
        <f t="shared" ca="1" si="47"/>
        <v/>
      </c>
      <c r="Q192" s="251" t="str">
        <f t="shared" ca="1" si="47"/>
        <v/>
      </c>
    </row>
    <row r="193" spans="1:17" s="12" customFormat="1" ht="14.25" customHeight="1" x14ac:dyDescent="0.35">
      <c r="A193" s="12" t="s">
        <v>174</v>
      </c>
      <c r="B193" s="183" t="s">
        <v>189</v>
      </c>
      <c r="H193" s="251" t="str">
        <f t="shared" ref="H193:Q193" si="48">IFERROR(H101*1000/H71,"")</f>
        <v/>
      </c>
      <c r="I193" s="251" t="str">
        <f t="shared" si="48"/>
        <v/>
      </c>
      <c r="J193" s="251" t="str">
        <f t="shared" si="48"/>
        <v/>
      </c>
      <c r="K193" s="251" t="str">
        <f t="shared" si="48"/>
        <v/>
      </c>
      <c r="L193" s="251" t="str">
        <f t="shared" si="48"/>
        <v/>
      </c>
      <c r="M193" s="251" t="str">
        <f t="shared" si="48"/>
        <v/>
      </c>
      <c r="N193" s="251" t="str">
        <f t="shared" si="48"/>
        <v/>
      </c>
      <c r="O193" s="251" t="str">
        <f t="shared" si="48"/>
        <v/>
      </c>
      <c r="P193" s="251" t="str">
        <f t="shared" si="48"/>
        <v/>
      </c>
      <c r="Q193" s="251" t="str">
        <f t="shared" si="48"/>
        <v/>
      </c>
    </row>
    <row r="194" spans="1:17" s="12" customFormat="1" ht="14.25" customHeight="1" x14ac:dyDescent="0.35">
      <c r="A194" s="12" t="s">
        <v>177</v>
      </c>
      <c r="B194" s="183" t="s">
        <v>189</v>
      </c>
      <c r="H194" s="251" t="str">
        <f t="shared" ref="H194:Q194" si="49">IFERROR(H104*1000/H71,"")</f>
        <v/>
      </c>
      <c r="I194" s="251" t="str">
        <f t="shared" si="49"/>
        <v/>
      </c>
      <c r="J194" s="251" t="str">
        <f t="shared" si="49"/>
        <v/>
      </c>
      <c r="K194" s="251" t="str">
        <f t="shared" si="49"/>
        <v/>
      </c>
      <c r="L194" s="251" t="str">
        <f t="shared" si="49"/>
        <v/>
      </c>
      <c r="M194" s="251" t="str">
        <f t="shared" si="49"/>
        <v/>
      </c>
      <c r="N194" s="251" t="str">
        <f t="shared" si="49"/>
        <v/>
      </c>
      <c r="O194" s="251" t="str">
        <f t="shared" si="49"/>
        <v/>
      </c>
      <c r="P194" s="251" t="str">
        <f t="shared" si="49"/>
        <v/>
      </c>
      <c r="Q194" s="251" t="str">
        <f t="shared" si="49"/>
        <v/>
      </c>
    </row>
    <row r="195" spans="1:17" s="12" customFormat="1" ht="14.25" customHeight="1" x14ac:dyDescent="0.35">
      <c r="A195" s="12" t="s">
        <v>238</v>
      </c>
      <c r="B195" s="183" t="s">
        <v>189</v>
      </c>
      <c r="H195" s="251" t="str">
        <f t="shared" ref="H195:Q195" ca="1" si="50">IFERROR(H109*1000/H71,"")</f>
        <v/>
      </c>
      <c r="I195" s="251" t="str">
        <f t="shared" ca="1" si="50"/>
        <v/>
      </c>
      <c r="J195" s="251" t="str">
        <f t="shared" ca="1" si="50"/>
        <v/>
      </c>
      <c r="K195" s="251" t="str">
        <f t="shared" ca="1" si="50"/>
        <v/>
      </c>
      <c r="L195" s="251" t="str">
        <f t="shared" ca="1" si="50"/>
        <v/>
      </c>
      <c r="M195" s="251" t="str">
        <f t="shared" ca="1" si="50"/>
        <v/>
      </c>
      <c r="N195" s="251" t="str">
        <f t="shared" ca="1" si="50"/>
        <v/>
      </c>
      <c r="O195" s="251" t="str">
        <f t="shared" ca="1" si="50"/>
        <v/>
      </c>
      <c r="P195" s="251" t="str">
        <f t="shared" ca="1" si="50"/>
        <v/>
      </c>
      <c r="Q195" s="251" t="str">
        <f t="shared" ca="1" si="50"/>
        <v/>
      </c>
    </row>
    <row r="196" spans="1:17" s="12" customFormat="1" ht="14.25" customHeight="1" x14ac:dyDescent="0.35">
      <c r="A196" s="12" t="s">
        <v>239</v>
      </c>
      <c r="B196" s="183" t="s">
        <v>189</v>
      </c>
      <c r="H196" s="251" t="str">
        <f t="shared" ref="H196:Q196" si="51">IFERROR(H111*1000/H71,"")</f>
        <v/>
      </c>
      <c r="I196" s="251" t="str">
        <f t="shared" si="51"/>
        <v/>
      </c>
      <c r="J196" s="251" t="str">
        <f t="shared" si="51"/>
        <v/>
      </c>
      <c r="K196" s="251" t="str">
        <f t="shared" si="51"/>
        <v/>
      </c>
      <c r="L196" s="251" t="str">
        <f t="shared" si="51"/>
        <v/>
      </c>
      <c r="M196" s="251" t="str">
        <f t="shared" si="51"/>
        <v/>
      </c>
      <c r="N196" s="251" t="str">
        <f t="shared" si="51"/>
        <v/>
      </c>
      <c r="O196" s="251" t="str">
        <f t="shared" si="51"/>
        <v/>
      </c>
      <c r="P196" s="251" t="str">
        <f t="shared" si="51"/>
        <v/>
      </c>
      <c r="Q196" s="251" t="str">
        <f t="shared" si="51"/>
        <v/>
      </c>
    </row>
    <row r="197" spans="1:17" s="12" customFormat="1" ht="14.25" customHeight="1" x14ac:dyDescent="0.35">
      <c r="A197" s="12" t="s">
        <v>240</v>
      </c>
      <c r="B197" s="183" t="s">
        <v>189</v>
      </c>
      <c r="H197" s="251">
        <f t="shared" ref="H197:Q197" si="52">H116</f>
        <v>0</v>
      </c>
      <c r="I197" s="251">
        <f t="shared" ca="1" si="52"/>
        <v>0</v>
      </c>
      <c r="J197" s="251">
        <f t="shared" ca="1" si="52"/>
        <v>0</v>
      </c>
      <c r="K197" s="251">
        <f t="shared" ca="1" si="52"/>
        <v>0</v>
      </c>
      <c r="L197" s="251">
        <f t="shared" ca="1" si="52"/>
        <v>0</v>
      </c>
      <c r="M197" s="251">
        <f t="shared" ca="1" si="52"/>
        <v>0</v>
      </c>
      <c r="N197" s="251">
        <f t="shared" ca="1" si="52"/>
        <v>0</v>
      </c>
      <c r="O197" s="251">
        <f t="shared" ca="1" si="52"/>
        <v>0</v>
      </c>
      <c r="P197" s="251">
        <f t="shared" ca="1" si="52"/>
        <v>0</v>
      </c>
      <c r="Q197" s="251">
        <f t="shared" ca="1" si="52"/>
        <v>0</v>
      </c>
    </row>
    <row r="198" spans="1:17" s="12" customFormat="1" ht="14.25" customHeight="1" x14ac:dyDescent="0.35">
      <c r="A198" s="12" t="s">
        <v>197</v>
      </c>
      <c r="B198" s="183" t="s">
        <v>189</v>
      </c>
      <c r="H198" s="251" t="str">
        <f t="shared" ref="H198:Q198" ca="1" si="53">IFERROR(H126/H199,"")</f>
        <v/>
      </c>
      <c r="I198" s="251" t="str">
        <f t="shared" ca="1" si="53"/>
        <v/>
      </c>
      <c r="J198" s="251" t="str">
        <f t="shared" ca="1" si="53"/>
        <v/>
      </c>
      <c r="K198" s="251" t="str">
        <f t="shared" ca="1" si="53"/>
        <v/>
      </c>
      <c r="L198" s="251" t="str">
        <f t="shared" ca="1" si="53"/>
        <v/>
      </c>
      <c r="M198" s="251" t="str">
        <f t="shared" ca="1" si="53"/>
        <v/>
      </c>
      <c r="N198" s="251" t="str">
        <f t="shared" ca="1" si="53"/>
        <v/>
      </c>
      <c r="O198" s="251" t="str">
        <f t="shared" ca="1" si="53"/>
        <v/>
      </c>
      <c r="P198" s="251" t="str">
        <f t="shared" ca="1" si="53"/>
        <v/>
      </c>
      <c r="Q198" s="251" t="str">
        <f t="shared" ca="1" si="53"/>
        <v/>
      </c>
    </row>
    <row r="199" spans="1:17" s="12" customFormat="1" ht="14.25" customHeight="1" x14ac:dyDescent="0.35">
      <c r="A199" s="12" t="s">
        <v>241</v>
      </c>
      <c r="B199" s="32"/>
      <c r="H199" s="218" t="str">
        <f t="shared" ref="H199:Q199" si="54">IFERROR(IF($B$7=1,($B$22*$B$23*H31*H71)/1000,($B$22*H24*H31*H71)/1000),"")</f>
        <v/>
      </c>
      <c r="I199" s="218" t="str">
        <f t="shared" si="54"/>
        <v/>
      </c>
      <c r="J199" s="218" t="str">
        <f t="shared" si="54"/>
        <v/>
      </c>
      <c r="K199" s="218" t="str">
        <f t="shared" si="54"/>
        <v/>
      </c>
      <c r="L199" s="218" t="str">
        <f t="shared" si="54"/>
        <v/>
      </c>
      <c r="M199" s="218" t="str">
        <f t="shared" si="54"/>
        <v/>
      </c>
      <c r="N199" s="218" t="str">
        <f t="shared" si="54"/>
        <v/>
      </c>
      <c r="O199" s="218" t="str">
        <f t="shared" si="54"/>
        <v/>
      </c>
      <c r="P199" s="218" t="str">
        <f t="shared" si="54"/>
        <v/>
      </c>
      <c r="Q199" s="218" t="str">
        <f t="shared" si="54"/>
        <v/>
      </c>
    </row>
    <row r="200" spans="1:17" s="12" customFormat="1" ht="14.25" customHeight="1" x14ac:dyDescent="0.25">
      <c r="B200" s="32"/>
    </row>
    <row r="201" spans="1:17" s="12" customFormat="1" ht="14.25" customHeight="1" x14ac:dyDescent="0.25">
      <c r="B201" s="32"/>
      <c r="H201" s="251"/>
      <c r="I201" s="251"/>
    </row>
    <row r="202" spans="1:17" s="12" customFormat="1" ht="14.25" customHeight="1" x14ac:dyDescent="0.25">
      <c r="B202" s="32"/>
    </row>
    <row r="203" spans="1:17" s="12" customFormat="1" ht="14.25" customHeight="1" x14ac:dyDescent="0.25">
      <c r="B203" s="32"/>
    </row>
    <row r="204" spans="1:17" s="12" customFormat="1" ht="14.25" customHeight="1" x14ac:dyDescent="0.25">
      <c r="B204" s="32"/>
    </row>
    <row r="205" spans="1:17" s="12" customFormat="1" ht="14.25" customHeight="1" x14ac:dyDescent="0.25">
      <c r="B205" s="32"/>
    </row>
    <row r="206" spans="1:17" s="12" customFormat="1" ht="14.25" customHeight="1" x14ac:dyDescent="0.25">
      <c r="B206" s="32"/>
    </row>
    <row r="207" spans="1:17" s="12" customFormat="1" ht="14.25" customHeight="1" x14ac:dyDescent="0.25">
      <c r="B207" s="32"/>
    </row>
    <row r="208" spans="1:17" s="12" customFormat="1" ht="14.25" customHeight="1" x14ac:dyDescent="0.25">
      <c r="B208" s="32"/>
    </row>
    <row r="209" spans="2:2" s="12" customFormat="1" ht="14.25" customHeight="1" x14ac:dyDescent="0.25">
      <c r="B209" s="32"/>
    </row>
    <row r="210" spans="2:2" s="12" customFormat="1" ht="14.25" customHeight="1" x14ac:dyDescent="0.25">
      <c r="B210" s="32"/>
    </row>
    <row r="211" spans="2:2" s="12" customFormat="1" ht="14.25" customHeight="1" x14ac:dyDescent="0.25">
      <c r="B211" s="32"/>
    </row>
    <row r="212" spans="2:2" s="12" customFormat="1" ht="14.25" customHeight="1" x14ac:dyDescent="0.25">
      <c r="B212" s="32"/>
    </row>
    <row r="213" spans="2:2" s="12" customFormat="1" ht="14.25" customHeight="1" x14ac:dyDescent="0.25">
      <c r="B213" s="32"/>
    </row>
    <row r="214" spans="2:2" s="12" customFormat="1" ht="14.25" customHeight="1" x14ac:dyDescent="0.25">
      <c r="B214" s="32"/>
    </row>
    <row r="215" spans="2:2" s="12" customFormat="1" ht="14.25" customHeight="1" x14ac:dyDescent="0.25">
      <c r="B215" s="32"/>
    </row>
    <row r="216" spans="2:2" s="12" customFormat="1" ht="14.25" customHeight="1" x14ac:dyDescent="0.25">
      <c r="B216" s="32"/>
    </row>
    <row r="217" spans="2:2" s="12" customFormat="1" ht="14.25" customHeight="1" x14ac:dyDescent="0.25">
      <c r="B217" s="32"/>
    </row>
    <row r="218" spans="2:2" s="12" customFormat="1" ht="14.25" customHeight="1" x14ac:dyDescent="0.25">
      <c r="B218" s="32"/>
    </row>
    <row r="219" spans="2:2" s="12" customFormat="1" ht="14.25" customHeight="1" x14ac:dyDescent="0.25">
      <c r="B219" s="32"/>
    </row>
    <row r="220" spans="2:2" s="12" customFormat="1" ht="14.25" customHeight="1" x14ac:dyDescent="0.25">
      <c r="B220" s="32"/>
    </row>
    <row r="221" spans="2:2" s="12" customFormat="1" ht="14.25" customHeight="1" x14ac:dyDescent="0.25">
      <c r="B221" s="32"/>
    </row>
    <row r="222" spans="2:2" s="12" customFormat="1" ht="14.25" customHeight="1" x14ac:dyDescent="0.25">
      <c r="B222" s="32"/>
    </row>
    <row r="223" spans="2:2" s="12" customFormat="1" ht="14.25" customHeight="1" x14ac:dyDescent="0.25">
      <c r="B223" s="32"/>
    </row>
    <row r="224" spans="2:2" s="12" customFormat="1" ht="14.25" customHeight="1" x14ac:dyDescent="0.25">
      <c r="B224" s="32"/>
    </row>
    <row r="225" spans="2:2" s="12" customFormat="1" ht="14.25" customHeight="1" x14ac:dyDescent="0.25">
      <c r="B225" s="32"/>
    </row>
    <row r="226" spans="2:2" s="12" customFormat="1" ht="14.25" customHeight="1" x14ac:dyDescent="0.25">
      <c r="B226" s="32"/>
    </row>
    <row r="227" spans="2:2" s="12" customFormat="1" ht="14.25" customHeight="1" x14ac:dyDescent="0.25">
      <c r="B227" s="32"/>
    </row>
    <row r="228" spans="2:2" s="12" customFormat="1" ht="14.25" customHeight="1" x14ac:dyDescent="0.25">
      <c r="B228" s="32"/>
    </row>
    <row r="229" spans="2:2" s="12" customFormat="1" ht="14.25" customHeight="1" x14ac:dyDescent="0.25">
      <c r="B229" s="32"/>
    </row>
    <row r="230" spans="2:2" s="12" customFormat="1" ht="14.25" customHeight="1" x14ac:dyDescent="0.25">
      <c r="B230" s="32"/>
    </row>
    <row r="231" spans="2:2" s="12" customFormat="1" ht="14.25" customHeight="1" x14ac:dyDescent="0.25">
      <c r="B231" s="32"/>
    </row>
    <row r="232" spans="2:2" s="12" customFormat="1" ht="14.25" customHeight="1" x14ac:dyDescent="0.25">
      <c r="B232" s="32"/>
    </row>
    <row r="233" spans="2:2" s="12" customFormat="1" ht="14.25" customHeight="1" x14ac:dyDescent="0.25">
      <c r="B233" s="32"/>
    </row>
    <row r="234" spans="2:2" s="12" customFormat="1" ht="14.25" customHeight="1" x14ac:dyDescent="0.25">
      <c r="B234" s="32"/>
    </row>
    <row r="235" spans="2:2" s="12" customFormat="1" ht="14.25" customHeight="1" x14ac:dyDescent="0.25">
      <c r="B235" s="32"/>
    </row>
    <row r="236" spans="2:2" s="12" customFormat="1" ht="14.25" customHeight="1" x14ac:dyDescent="0.25">
      <c r="B236" s="32"/>
    </row>
    <row r="237" spans="2:2" s="12" customFormat="1" ht="14.25" customHeight="1" x14ac:dyDescent="0.25">
      <c r="B237" s="32"/>
    </row>
    <row r="238" spans="2:2" s="12" customFormat="1" ht="14.25" customHeight="1" x14ac:dyDescent="0.25">
      <c r="B238" s="32"/>
    </row>
    <row r="239" spans="2:2" s="12" customFormat="1" ht="14.25" customHeight="1" x14ac:dyDescent="0.25">
      <c r="B239" s="32"/>
    </row>
    <row r="240" spans="2:2" s="12" customFormat="1" ht="14.25" customHeight="1" x14ac:dyDescent="0.25">
      <c r="B240" s="32"/>
    </row>
    <row r="241" spans="2:2" s="12" customFormat="1" ht="14.25" customHeight="1" x14ac:dyDescent="0.25">
      <c r="B241" s="32"/>
    </row>
    <row r="242" spans="2:2" s="12" customFormat="1" ht="14.25" customHeight="1" x14ac:dyDescent="0.25">
      <c r="B242" s="32"/>
    </row>
    <row r="243" spans="2:2" s="12" customFormat="1" ht="14.25" customHeight="1" x14ac:dyDescent="0.25">
      <c r="B243" s="32"/>
    </row>
    <row r="244" spans="2:2" s="12" customFormat="1" ht="14.25" customHeight="1" x14ac:dyDescent="0.25">
      <c r="B244" s="32"/>
    </row>
    <row r="245" spans="2:2" s="12" customFormat="1" ht="14.25" customHeight="1" x14ac:dyDescent="0.25">
      <c r="B245" s="32"/>
    </row>
    <row r="246" spans="2:2" s="12" customFormat="1" ht="14.25" customHeight="1" x14ac:dyDescent="0.25">
      <c r="B246" s="32"/>
    </row>
    <row r="247" spans="2:2" s="12" customFormat="1" ht="14.25" customHeight="1" x14ac:dyDescent="0.25">
      <c r="B247" s="32"/>
    </row>
    <row r="248" spans="2:2" s="12" customFormat="1" ht="14.25" customHeight="1" x14ac:dyDescent="0.25">
      <c r="B248" s="32"/>
    </row>
    <row r="249" spans="2:2" s="12" customFormat="1" ht="14.25" customHeight="1" x14ac:dyDescent="0.25">
      <c r="B249" s="32"/>
    </row>
    <row r="250" spans="2:2" s="12" customFormat="1" ht="14.25" customHeight="1" x14ac:dyDescent="0.25">
      <c r="B250" s="32"/>
    </row>
    <row r="251" spans="2:2" s="12" customFormat="1" ht="14.25" customHeight="1" x14ac:dyDescent="0.25">
      <c r="B251" s="32"/>
    </row>
    <row r="252" spans="2:2" s="12" customFormat="1" ht="14.25" customHeight="1" x14ac:dyDescent="0.25">
      <c r="B252" s="32"/>
    </row>
    <row r="253" spans="2:2" s="12" customFormat="1" ht="14.25" customHeight="1" x14ac:dyDescent="0.25">
      <c r="B253" s="32"/>
    </row>
    <row r="254" spans="2:2" s="12" customFormat="1" ht="14.25" customHeight="1" x14ac:dyDescent="0.25">
      <c r="B254" s="32"/>
    </row>
    <row r="255" spans="2:2" s="12" customFormat="1" ht="14.25" customHeight="1" x14ac:dyDescent="0.25">
      <c r="B255" s="32"/>
    </row>
    <row r="256" spans="2:2" s="12" customFormat="1" ht="14.25" customHeight="1" x14ac:dyDescent="0.25">
      <c r="B256" s="32"/>
    </row>
    <row r="257" spans="2:2" s="12" customFormat="1" ht="14.25" customHeight="1" x14ac:dyDescent="0.25">
      <c r="B257" s="32"/>
    </row>
    <row r="258" spans="2:2" s="12" customFormat="1" ht="14.25" customHeight="1" x14ac:dyDescent="0.25">
      <c r="B258" s="32"/>
    </row>
    <row r="259" spans="2:2" s="12" customFormat="1" ht="14.25" customHeight="1" x14ac:dyDescent="0.25">
      <c r="B259" s="32"/>
    </row>
    <row r="260" spans="2:2" s="12" customFormat="1" ht="14.25" customHeight="1" x14ac:dyDescent="0.25">
      <c r="B260" s="32"/>
    </row>
    <row r="261" spans="2:2" s="12" customFormat="1" ht="14.25" customHeight="1" x14ac:dyDescent="0.25">
      <c r="B261" s="32"/>
    </row>
    <row r="262" spans="2:2" s="12" customFormat="1" ht="14.25" customHeight="1" x14ac:dyDescent="0.25">
      <c r="B262" s="32"/>
    </row>
    <row r="263" spans="2:2" s="12" customFormat="1" ht="14.25" customHeight="1" x14ac:dyDescent="0.25">
      <c r="B263" s="32"/>
    </row>
    <row r="264" spans="2:2" s="12" customFormat="1" ht="14.25" customHeight="1" x14ac:dyDescent="0.25">
      <c r="B264" s="32"/>
    </row>
    <row r="265" spans="2:2" s="12" customFormat="1" ht="14.25" customHeight="1" x14ac:dyDescent="0.25">
      <c r="B265" s="32"/>
    </row>
    <row r="266" spans="2:2" s="12" customFormat="1" ht="14.25" customHeight="1" x14ac:dyDescent="0.25">
      <c r="B266" s="32"/>
    </row>
    <row r="267" spans="2:2" s="12" customFormat="1" ht="14.25" customHeight="1" x14ac:dyDescent="0.25">
      <c r="B267" s="32"/>
    </row>
    <row r="268" spans="2:2" s="12" customFormat="1" ht="14.25" customHeight="1" x14ac:dyDescent="0.25">
      <c r="B268" s="32"/>
    </row>
    <row r="269" spans="2:2" s="12" customFormat="1" ht="14.25" customHeight="1" x14ac:dyDescent="0.25">
      <c r="B269" s="32"/>
    </row>
    <row r="270" spans="2:2" s="12" customFormat="1" ht="14.25" customHeight="1" x14ac:dyDescent="0.25">
      <c r="B270" s="32"/>
    </row>
    <row r="271" spans="2:2" s="12" customFormat="1" ht="14.25" customHeight="1" x14ac:dyDescent="0.25">
      <c r="B271" s="32"/>
    </row>
    <row r="272" spans="2:2" s="12" customFormat="1" ht="14.25" customHeight="1" x14ac:dyDescent="0.25">
      <c r="B272" s="32"/>
    </row>
    <row r="273" spans="2:2" s="12" customFormat="1" ht="14.25" customHeight="1" x14ac:dyDescent="0.25">
      <c r="B273" s="32"/>
    </row>
    <row r="274" spans="2:2" s="12" customFormat="1" ht="14.25" customHeight="1" x14ac:dyDescent="0.25">
      <c r="B274" s="32"/>
    </row>
  </sheetData>
  <sheetProtection algorithmName="SHA-512" hashValue="scC3p9ONcIMQuPMT+f9R8SsubnbSgIXa/SV2LRlV8gl4JscsNYU93eOjhDWvFERaZcZb3dtpLkBPs+olwzux8A==" saltValue="g2jK0Er5q1t8/vDx8YqcyQ==" spinCount="100000" sheet="1" objects="1" scenarios="1"/>
  <mergeCells count="7">
    <mergeCell ref="A137:Q137"/>
    <mergeCell ref="B6:C6"/>
    <mergeCell ref="B14:N14"/>
    <mergeCell ref="A17:Q17"/>
    <mergeCell ref="H19:Q19"/>
    <mergeCell ref="A87:A88"/>
    <mergeCell ref="A94:Q94"/>
  </mergeCells>
  <conditionalFormatting sqref="B23">
    <cfRule type="expression" dxfId="44" priority="1">
      <formula>$B$7&lt;&gt;1</formula>
    </cfRule>
  </conditionalFormatting>
  <conditionalFormatting sqref="B24">
    <cfRule type="expression" dxfId="43" priority="3">
      <formula>$B$7=1</formula>
    </cfRule>
  </conditionalFormatting>
  <conditionalFormatting sqref="H24:Q24">
    <cfRule type="expression" dxfId="42" priority="2" stopIfTrue="1">
      <formula>$B$7=1</formula>
    </cfRule>
    <cfRule type="expression" dxfId="41" priority="12">
      <formula>H24=$B$24</formula>
    </cfRule>
  </conditionalFormatting>
  <conditionalFormatting sqref="H29:Q29">
    <cfRule type="expression" dxfId="40" priority="13">
      <formula>H29=$B$30</formula>
    </cfRule>
  </conditionalFormatting>
  <conditionalFormatting sqref="H41:Q41">
    <cfRule type="expression" dxfId="37" priority="15">
      <formula>ABS(H41)=ABS(0.04*SUM($D$35:$G$35))</formula>
    </cfRule>
  </conditionalFormatting>
  <conditionalFormatting sqref="H82:Q82">
    <cfRule type="expression" dxfId="31" priority="5">
      <formula>H82=$B$82</formula>
    </cfRule>
  </conditionalFormatting>
  <dataValidations count="8">
    <dataValidation allowBlank="1" showInputMessage="1" showErrorMessage="1" promptTitle="Compensatie indirecte emissies" prompt="Geef hier enkel het gedeelte van de steun in dat in verhouding staat tot het elektrisch verbruik van de investering waarvoor TRACKS-steun wordt aangevraagd. Dit is enkel voor fallback-subinstallaties en installaties met uitwisselbaarheid van brandstoffen." sqref="H62:Q62" xr:uid="{79BD8130-9A00-4924-9E26-68D2887175AF}"/>
    <dataValidation errorStyle="warning" allowBlank="1" showInputMessage="1" showErrorMessage="1" sqref="B25" xr:uid="{5FFF6FFF-1483-4F2D-A2B7-C89F01215FAF}"/>
    <dataValidation type="list" allowBlank="1" showInputMessage="1" showErrorMessage="1" sqref="A130" xr:uid="{0374D8AE-60CB-48F4-849D-0710CBDCEF15}">
      <formula1>INDIRECT("tech_param[Technologie]")</formula1>
    </dataValidation>
    <dataValidation allowBlank="1" showErrorMessage="1" sqref="B7" xr:uid="{31A3B228-767E-4189-8D27-8F41002FA822}"/>
    <dataValidation type="custom" allowBlank="1" showInputMessage="1" showErrorMessage="1" errorTitle="COP enkel voor WP en MVR" error=" COP waarde is enkel voor warmtepomp en MVR van toepassing." sqref="B24" xr:uid="{4D0AAEEB-2EDF-4304-B440-62258B15BA60}">
      <formula1>IF($B$6="E-boiler", FALSE, TRUE)</formula1>
    </dataValidation>
    <dataValidation allowBlank="1" showInputMessage="1" showErrorMessage="1" promptTitle="Bepaling jaarlijkse COP" prompt="Voor de berekening van de jaarlijkse steun en de clawback wordt de COP jaarlijks bepaald op basis van het elektrisch verbruik en de geproduceerde warmte." sqref="I24:Q24" xr:uid="{A61EB5A8-6B36-480C-A5C9-DF380DA44ADE}"/>
    <dataValidation type="custom" allowBlank="1" showInputMessage="1" showErrorMessage="1" errorTitle="COP enkel voor WP en MVR" error=" COP waarde is enkel voor warmtepomp en MVR van toepassing." promptTitle="COP bij aanvraag" prompt="De COP bij aanvraag is enkel relevant voor de hoogte van de maximale vastgelegde steun. In dit rekenblad wordt de jaarlijkse COP vooraf ingevuld op basis van deze waarde, maar bij de effectieve berekening van de steun wordt de COP jaarlijks bepaald." sqref="B24" xr:uid="{219CC69B-A6FC-4930-B52D-45DFC7415DF0}">
      <formula1>IF($B$6="E-boiler", FALSE, TRUE)</formula1>
    </dataValidation>
    <dataValidation allowBlank="1" showInputMessage="1" showErrorMessage="1" promptTitle="Bepaling jaarlijkse COP" prompt="Voor de berekening van de jaarlijkse steun en het terugvorderingsmechanisme op het einde wordt de COP jaarlijks bepaald op basis van het elektrisch verbruik en de geproduceerde warmte." sqref="H24" xr:uid="{71D56C89-77C2-4A4B-8A59-0F63A485B985}"/>
  </dataValidations>
  <pageMargins left="0.7" right="0.7" top="0.75" bottom="0.75" header="0.3" footer="0.3"/>
  <pageSetup paperSize="9" orientation="portrait"/>
  <ignoredErrors>
    <ignoredError sqref="H24:Q24 H29:Q29 H45:Q45 H51:Q52 H57:Q58 H82:Q82 H38:Q38 H41:Q41 H44:Q44"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4" id="{1D31743B-F1A1-4B08-8139-210DB2706A61}">
            <xm:f>H37='dropdown lists'!$B$4</xm:f>
            <x14:dxf>
              <font>
                <b val="0"/>
                <i/>
                <strike val="0"/>
              </font>
              <fill>
                <patternFill patternType="lightUp">
                  <fgColor theme="0" tint="-0.34998626667073579"/>
                </patternFill>
              </fill>
              <border>
                <left/>
                <right/>
                <top/>
                <bottom/>
                <vertical/>
                <horizontal/>
              </border>
            </x14:dxf>
          </x14:cfRule>
          <xm:sqref>H37:Q37</xm:sqref>
        </x14:conditionalFormatting>
        <x14:conditionalFormatting xmlns:xm="http://schemas.microsoft.com/office/excel/2006/main">
          <x14:cfRule type="expression" priority="11" id="{774E558C-6C91-49A3-B854-43071B1539F2}">
            <xm:f>H38=VLOOKUP("Netkosten "&amp;H$37,'Technologie parameters'!$A$26:$L$35,COLUMN('Technologie parameters'!C25),FALSE)</xm:f>
            <x14:dxf>
              <font>
                <b val="0"/>
                <i/>
                <strike val="0"/>
              </font>
              <fill>
                <patternFill patternType="lightUp">
                  <fgColor theme="0" tint="-0.34998626667073579"/>
                </patternFill>
              </fill>
            </x14:dxf>
          </x14:cfRule>
          <xm:sqref>H38:Q38</xm:sqref>
        </x14:conditionalFormatting>
        <x14:conditionalFormatting xmlns:xm="http://schemas.microsoft.com/office/excel/2006/main">
          <x14:cfRule type="expression" priority="10" id="{E74E762A-74D7-4EA5-AC98-824191D32C17}">
            <xm:f>H44=IF($B$7=1,'Technologie parameters'!C31,'Technologie parameters'!C30)</xm:f>
            <x14:dxf>
              <font>
                <b val="0"/>
                <i/>
                <strike val="0"/>
              </font>
              <fill>
                <patternFill patternType="lightUp">
                  <fgColor theme="0" tint="-0.34998626667073579"/>
                </patternFill>
              </fill>
              <border>
                <left/>
                <right/>
                <top/>
                <bottom/>
                <vertical/>
                <horizontal/>
              </border>
            </x14:dxf>
          </x14:cfRule>
          <xm:sqref>H44:Q44</xm:sqref>
        </x14:conditionalFormatting>
        <x14:conditionalFormatting xmlns:xm="http://schemas.microsoft.com/office/excel/2006/main">
          <x14:cfRule type="expression" priority="9" id="{E7923653-86AC-4309-8F2E-0061F651F935}">
            <xm:f>H45='Technologie parameters'!C35</xm:f>
            <x14:dxf>
              <font>
                <b val="0"/>
                <i/>
                <strike val="0"/>
              </font>
              <fill>
                <patternFill patternType="lightUp">
                  <fgColor theme="0" tint="-0.34998626667073579"/>
                </patternFill>
              </fill>
              <border>
                <left/>
                <right/>
                <top/>
                <bottom/>
                <vertical/>
                <horizontal/>
              </border>
            </x14:dxf>
          </x14:cfRule>
          <xm:sqref>H45:Q45</xm:sqref>
        </x14:conditionalFormatting>
        <x14:conditionalFormatting xmlns:xm="http://schemas.microsoft.com/office/excel/2006/main">
          <x14:cfRule type="expression" priority="8" id="{379E46EE-7DCB-4925-8EF1-FAF2B383C007}">
            <xm:f>H51='Technologie parameters'!C26</xm:f>
            <x14:dxf>
              <font>
                <b val="0"/>
                <i/>
                <strike val="0"/>
              </font>
              <fill>
                <patternFill patternType="lightUp">
                  <fgColor theme="0" tint="-0.34998626667073579"/>
                </patternFill>
              </fill>
              <border>
                <left/>
                <right/>
                <top/>
                <bottom/>
                <vertical/>
                <horizontal/>
              </border>
            </x14:dxf>
          </x14:cfRule>
          <xm:sqref>H51:Q52</xm:sqref>
        </x14:conditionalFormatting>
        <x14:conditionalFormatting xmlns:xm="http://schemas.microsoft.com/office/excel/2006/main">
          <x14:cfRule type="expression" priority="7" id="{FB76258F-A1DF-4D96-AD33-32D82DE0C009}">
            <xm:f>H56='dropdown lists'!$C$3</xm:f>
            <x14:dxf>
              <font>
                <b val="0"/>
                <i/>
                <strike val="0"/>
              </font>
              <fill>
                <patternFill patternType="lightUp">
                  <fgColor theme="0" tint="-0.34998626667073579"/>
                </patternFill>
              </fill>
              <border>
                <left/>
                <right/>
                <top/>
                <bottom/>
                <vertical/>
                <horizontal/>
              </border>
            </x14:dxf>
          </x14:cfRule>
          <xm:sqref>H56:Q56</xm:sqref>
        </x14:conditionalFormatting>
        <x14:conditionalFormatting xmlns:xm="http://schemas.microsoft.com/office/excel/2006/main">
          <x14:cfRule type="expression" priority="6" id="{54673A95-E6B2-4FE0-9091-A1AF6B5C1C0C}">
            <xm:f>H57='Technologie parameters'!C28</xm:f>
            <x14:dxf>
              <font>
                <b val="0"/>
                <i/>
                <strike val="0"/>
              </font>
              <fill>
                <patternFill patternType="lightUp">
                  <fgColor theme="0" tint="-0.34998626667073579"/>
                </patternFill>
              </fill>
              <border>
                <left/>
                <right/>
                <top/>
                <bottom/>
                <vertical/>
                <horizontal/>
              </border>
            </x14:dxf>
          </x14:cfRule>
          <xm:sqref>H57:Q58</xm:sqref>
        </x14:conditionalFormatting>
        <x14:conditionalFormatting xmlns:xm="http://schemas.microsoft.com/office/excel/2006/main">
          <x14:cfRule type="expression" priority="4" id="{A8C51106-F19C-4757-AE50-710299931BED}">
            <xm:f>H84='Technologie parameters'!C36</xm:f>
            <x14:dxf>
              <font>
                <b val="0"/>
                <i/>
                <strike val="0"/>
              </font>
              <fill>
                <patternFill patternType="lightUp">
                  <fgColor theme="0" tint="-0.34998626667073579"/>
                </patternFill>
              </fill>
              <border>
                <left/>
                <right/>
                <top/>
                <bottom/>
                <vertical/>
                <horizontal/>
              </border>
            </x14:dxf>
          </x14:cfRule>
          <xm:sqref>H84:Q84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22092A8-E22C-4FD8-88F2-26DE3A368763}">
          <x14:formula1>
            <xm:f>'dropdown lists'!$A$3:$A$10</xm:f>
          </x14:formula1>
          <xm:sqref>B6:C6</xm:sqref>
        </x14:dataValidation>
        <x14:dataValidation type="list" allowBlank="1" showInputMessage="1" showErrorMessage="1" xr:uid="{F0F201A8-E960-4BE6-B24C-D936DEBD1DFE}">
          <x14:formula1>
            <xm:f>'dropdown lists'!$C$3:$C$5</xm:f>
          </x14:formula1>
          <xm:sqref>H56:Q56</xm:sqref>
        </x14:dataValidation>
        <x14:dataValidation type="list" allowBlank="1" showInputMessage="1" showErrorMessage="1" xr:uid="{363C4818-368C-49ED-84D0-A5ED70C4DB62}">
          <x14:formula1>
            <xm:f>'dropdown lists'!$B$3:$B$5</xm:f>
          </x14:formula1>
          <xm:sqref>H37:Q37</xm:sqref>
        </x14:dataValidation>
        <x14:dataValidation type="list" allowBlank="1" showInputMessage="1" showErrorMessage="1" xr:uid="{BEE62491-9563-41AD-805C-EC2A786D7A83}">
          <x14:formula1>
            <xm:f>'dropdown lists'!#REF!</xm:f>
          </x14:formula1>
          <xm:sqref>B55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262F0-1EC1-431A-BE86-95FD69869CDA}">
  <sheetPr>
    <tabColor theme="0" tint="-0.499984740745262"/>
  </sheetPr>
  <dimension ref="A1:U274"/>
  <sheetViews>
    <sheetView showGridLines="0" topLeftCell="B6" zoomScaleNormal="100" workbookViewId="0">
      <selection activeCell="G193" sqref="G193"/>
    </sheetView>
  </sheetViews>
  <sheetFormatPr defaultColWidth="8.85546875" defaultRowHeight="11.25" x14ac:dyDescent="0.15"/>
  <cols>
    <col min="1" max="1" width="50.85546875" style="1" customWidth="1"/>
    <col min="2" max="2" width="19.7109375" style="4" bestFit="1" customWidth="1"/>
    <col min="3" max="7" width="13.7109375" style="1" customWidth="1"/>
    <col min="8" max="17" width="14.28515625" style="1" customWidth="1"/>
    <col min="18" max="18" width="17.28515625" style="1" hidden="1" customWidth="1"/>
    <col min="19" max="20" width="11.5703125" style="1" customWidth="1"/>
    <col min="21" max="21" width="10.5703125" style="1" customWidth="1"/>
    <col min="22" max="16384" width="8.85546875" style="1"/>
  </cols>
  <sheetData>
    <row r="1" spans="1:18" s="7" customFormat="1" ht="14.25" customHeight="1" x14ac:dyDescent="0.15">
      <c r="A1" s="9"/>
      <c r="B1" s="10"/>
      <c r="C1" s="10"/>
      <c r="D1" s="10"/>
      <c r="E1" s="10"/>
      <c r="F1" s="10"/>
      <c r="G1" s="10"/>
      <c r="H1" s="10"/>
      <c r="I1" s="10"/>
      <c r="J1" s="10"/>
      <c r="K1" s="10"/>
      <c r="L1" s="10"/>
      <c r="M1" s="10"/>
      <c r="N1" s="10"/>
      <c r="O1" s="10"/>
      <c r="P1" s="10"/>
      <c r="Q1" s="10"/>
    </row>
    <row r="2" spans="1:18" s="6" customFormat="1" ht="28.15" customHeight="1" x14ac:dyDescent="0.25">
      <c r="A2" s="11" t="s">
        <v>107</v>
      </c>
      <c r="B2" s="10"/>
      <c r="C2" s="10"/>
      <c r="D2" s="10"/>
      <c r="E2" s="10"/>
      <c r="F2" s="10"/>
      <c r="G2" s="10"/>
      <c r="H2" s="10"/>
      <c r="I2" s="10"/>
      <c r="J2" s="10"/>
      <c r="K2" s="10"/>
      <c r="L2" s="10"/>
      <c r="M2" s="10"/>
      <c r="N2" s="10"/>
      <c r="O2" s="10"/>
      <c r="P2" s="10"/>
      <c r="Q2" s="10"/>
    </row>
    <row r="3" spans="1:18" s="7" customFormat="1" ht="14.25" customHeight="1" x14ac:dyDescent="0.15">
      <c r="A3" s="10"/>
      <c r="B3" s="10"/>
      <c r="C3" s="10"/>
      <c r="D3" s="10"/>
      <c r="E3" s="10"/>
      <c r="F3" s="10"/>
      <c r="G3" s="10"/>
      <c r="H3" s="10"/>
      <c r="I3" s="10"/>
      <c r="J3" s="10"/>
      <c r="K3" s="10"/>
      <c r="L3" s="10"/>
      <c r="M3" s="10"/>
      <c r="N3" s="10"/>
      <c r="O3" s="10"/>
      <c r="P3" s="10"/>
      <c r="Q3" s="10"/>
    </row>
    <row r="4" spans="1:18" s="112" customFormat="1" ht="14.25" customHeight="1" x14ac:dyDescent="0.25">
      <c r="A4" s="22"/>
      <c r="B4" s="22"/>
      <c r="C4" s="22"/>
      <c r="D4" s="22"/>
      <c r="E4" s="22"/>
      <c r="F4" s="22"/>
      <c r="G4" s="22"/>
      <c r="H4" s="22"/>
      <c r="I4" s="22"/>
      <c r="J4" s="22"/>
      <c r="K4" s="22"/>
      <c r="L4" s="22"/>
      <c r="M4" s="22"/>
      <c r="N4" s="22"/>
      <c r="O4" s="22"/>
      <c r="P4" s="22"/>
      <c r="Q4" s="22"/>
    </row>
    <row r="5" spans="1:18" s="112" customFormat="1" ht="14.25" customHeight="1" x14ac:dyDescent="0.25">
      <c r="A5" s="22"/>
      <c r="B5" s="35"/>
      <c r="C5" s="22"/>
      <c r="D5" s="22"/>
      <c r="E5" s="22"/>
      <c r="F5" s="22"/>
      <c r="G5" s="22"/>
      <c r="H5" s="22"/>
      <c r="I5" s="22"/>
      <c r="J5" s="22"/>
      <c r="K5" s="22"/>
      <c r="L5" s="22"/>
      <c r="M5" s="22"/>
      <c r="N5" s="22"/>
      <c r="O5" s="22"/>
      <c r="P5" s="22"/>
      <c r="Q5" s="22"/>
    </row>
    <row r="6" spans="1:18" s="22" customFormat="1" ht="14.25" customHeight="1" x14ac:dyDescent="0.25">
      <c r="A6" s="70" t="s">
        <v>56</v>
      </c>
      <c r="B6" s="295" t="s">
        <v>242</v>
      </c>
      <c r="C6" s="295"/>
      <c r="M6" s="113"/>
      <c r="N6" s="22" t="s">
        <v>108</v>
      </c>
      <c r="Q6" s="114"/>
      <c r="R6" s="115"/>
    </row>
    <row r="7" spans="1:18" s="22" customFormat="1" ht="14.25" customHeight="1" x14ac:dyDescent="0.25">
      <c r="A7" s="72" t="s">
        <v>109</v>
      </c>
      <c r="B7" s="116">
        <f>IF($B$6="","",_xlfn.XLOOKUP($B$6,tech_param[Technologie],tech_param[ID]))</f>
        <v>1</v>
      </c>
      <c r="C7" s="117"/>
      <c r="D7" s="117"/>
      <c r="E7" s="117"/>
      <c r="F7" s="117"/>
      <c r="G7" s="117"/>
      <c r="H7" s="117"/>
      <c r="M7" s="71"/>
      <c r="N7" s="22" t="s">
        <v>110</v>
      </c>
      <c r="Q7" s="114"/>
      <c r="R7" s="115"/>
    </row>
    <row r="8" spans="1:18" s="22" customFormat="1" ht="14.25" customHeight="1" x14ac:dyDescent="0.25">
      <c r="C8" s="114"/>
      <c r="M8" s="118"/>
      <c r="N8" s="22" t="s">
        <v>111</v>
      </c>
      <c r="Q8" s="114"/>
    </row>
    <row r="9" spans="1:18" s="22" customFormat="1" ht="14.25" customHeight="1" x14ac:dyDescent="0.25">
      <c r="C9" s="114"/>
      <c r="M9" s="119"/>
      <c r="N9" s="22" t="s">
        <v>112</v>
      </c>
      <c r="Q9" s="114"/>
    </row>
    <row r="10" spans="1:18" s="22" customFormat="1" ht="14.25" customHeight="1" x14ac:dyDescent="0.25">
      <c r="A10" s="120"/>
      <c r="C10" s="114"/>
      <c r="M10" s="121"/>
      <c r="N10" s="122" t="s">
        <v>113</v>
      </c>
      <c r="O10" s="114"/>
      <c r="P10" s="114"/>
      <c r="Q10" s="123"/>
    </row>
    <row r="11" spans="1:18" s="22" customFormat="1" ht="14.25" customHeight="1" x14ac:dyDescent="0.25">
      <c r="A11" s="22" t="s">
        <v>61</v>
      </c>
      <c r="B11" s="124">
        <f>IFERROR(_xlfn.XLOOKUP($B$7,tech_param[ID],tech_param[Referentiebedrag]),"")</f>
        <v>444.72</v>
      </c>
      <c r="C11" s="22" t="s">
        <v>114</v>
      </c>
      <c r="H11" s="125"/>
      <c r="I11" s="125"/>
      <c r="J11" s="125"/>
      <c r="K11" s="125"/>
      <c r="L11" s="125"/>
      <c r="M11" s="125"/>
      <c r="N11" s="125"/>
      <c r="O11" s="125"/>
      <c r="P11" s="125"/>
      <c r="Q11" s="125"/>
    </row>
    <row r="12" spans="1:18" s="22" customFormat="1" ht="14.25" customHeight="1" x14ac:dyDescent="0.25">
      <c r="A12" s="22" t="s">
        <v>115</v>
      </c>
      <c r="B12" s="99">
        <v>425</v>
      </c>
      <c r="C12" s="22" t="s">
        <v>114</v>
      </c>
      <c r="D12" s="125"/>
      <c r="E12" s="125"/>
      <c r="F12" s="125"/>
      <c r="G12" s="125"/>
      <c r="H12" s="126"/>
      <c r="I12" s="125"/>
      <c r="J12" s="125"/>
      <c r="K12" s="125"/>
      <c r="L12" s="125"/>
      <c r="M12" s="125"/>
      <c r="N12" s="125"/>
      <c r="O12" s="125"/>
      <c r="P12" s="125"/>
      <c r="Q12" s="125"/>
    </row>
    <row r="13" spans="1:18" s="22" customFormat="1" ht="15.6" customHeight="1" x14ac:dyDescent="0.25"/>
    <row r="14" spans="1:18" s="22" customFormat="1" ht="15.6" customHeight="1" x14ac:dyDescent="0.25">
      <c r="B14" s="296" t="str">
        <f>IF(B12&gt;B11,"Opgelet: het aanvraagbedrag is groter dan het referentiebedrag.","")</f>
        <v/>
      </c>
      <c r="C14" s="297"/>
      <c r="D14" s="297"/>
      <c r="E14" s="297"/>
      <c r="F14" s="297"/>
      <c r="G14" s="297"/>
      <c r="H14" s="297"/>
      <c r="I14" s="297"/>
      <c r="J14" s="297"/>
      <c r="K14" s="297"/>
      <c r="L14" s="297"/>
      <c r="M14" s="297"/>
      <c r="N14" s="297"/>
      <c r="O14" s="128"/>
      <c r="P14" s="128"/>
      <c r="Q14" s="128"/>
    </row>
    <row r="15" spans="1:18" s="22" customFormat="1" ht="15.6" customHeight="1" x14ac:dyDescent="0.25">
      <c r="B15" s="127"/>
      <c r="C15" s="128"/>
      <c r="D15" s="128"/>
      <c r="E15" s="128"/>
      <c r="F15" s="128"/>
      <c r="G15" s="128"/>
      <c r="H15" s="128"/>
      <c r="I15" s="128"/>
      <c r="J15" s="128"/>
      <c r="K15" s="128"/>
      <c r="L15" s="128"/>
      <c r="M15" s="128"/>
      <c r="N15" s="128"/>
      <c r="O15" s="128"/>
      <c r="P15" s="128"/>
      <c r="Q15" s="128"/>
    </row>
    <row r="16" spans="1:18" s="45" customFormat="1" ht="14.25" customHeight="1" x14ac:dyDescent="0.25">
      <c r="A16" s="13" t="s">
        <v>116</v>
      </c>
      <c r="B16" s="43"/>
      <c r="C16" s="43"/>
      <c r="D16" s="43"/>
      <c r="E16" s="43"/>
      <c r="F16" s="43"/>
      <c r="G16" s="43"/>
      <c r="H16" s="43"/>
      <c r="I16" s="43"/>
      <c r="J16" s="43"/>
    </row>
    <row r="17" spans="1:18" s="22" customFormat="1" ht="14.25" customHeight="1" x14ac:dyDescent="0.25">
      <c r="A17" s="290" t="s">
        <v>117</v>
      </c>
      <c r="B17" s="291"/>
      <c r="C17" s="291"/>
      <c r="D17" s="291"/>
      <c r="E17" s="291"/>
      <c r="F17" s="291"/>
      <c r="G17" s="291"/>
      <c r="H17" s="291"/>
      <c r="I17" s="291"/>
      <c r="J17" s="291"/>
      <c r="K17" s="291"/>
      <c r="L17" s="291"/>
      <c r="M17" s="291"/>
      <c r="N17" s="294"/>
      <c r="O17" s="294"/>
      <c r="P17" s="294"/>
      <c r="Q17" s="294"/>
    </row>
    <row r="18" spans="1:18" s="22" customFormat="1" ht="14.25" customHeight="1" x14ac:dyDescent="0.25">
      <c r="A18" s="129"/>
      <c r="B18" s="35"/>
    </row>
    <row r="19" spans="1:18" s="22" customFormat="1" ht="14.25" customHeight="1" x14ac:dyDescent="0.25">
      <c r="A19" s="130"/>
      <c r="B19" s="35"/>
      <c r="H19" s="298" t="s">
        <v>118</v>
      </c>
      <c r="I19" s="298"/>
      <c r="J19" s="298"/>
      <c r="K19" s="298"/>
      <c r="L19" s="298"/>
      <c r="M19" s="298"/>
      <c r="N19" s="298"/>
      <c r="O19" s="298"/>
      <c r="P19" s="298"/>
      <c r="Q19" s="298"/>
    </row>
    <row r="20" spans="1:18" s="22" customFormat="1" ht="14.25" customHeight="1" x14ac:dyDescent="0.25">
      <c r="A20" s="130"/>
      <c r="B20" s="35"/>
      <c r="D20" s="131">
        <v>-4</v>
      </c>
      <c r="E20" s="131">
        <v>-3</v>
      </c>
      <c r="F20" s="131">
        <v>-2</v>
      </c>
      <c r="G20" s="131">
        <v>-1</v>
      </c>
      <c r="H20" s="131">
        <v>1</v>
      </c>
      <c r="I20" s="131">
        <v>2</v>
      </c>
      <c r="J20" s="131">
        <v>3</v>
      </c>
      <c r="K20" s="131">
        <v>4</v>
      </c>
      <c r="L20" s="131">
        <v>5</v>
      </c>
      <c r="M20" s="131">
        <v>6</v>
      </c>
      <c r="N20" s="131">
        <v>7</v>
      </c>
      <c r="O20" s="131">
        <v>8</v>
      </c>
      <c r="P20" s="131">
        <v>9</v>
      </c>
      <c r="Q20" s="131">
        <v>10</v>
      </c>
    </row>
    <row r="21" spans="1:18" s="135" customFormat="1" ht="31.5" customHeight="1" x14ac:dyDescent="0.25">
      <c r="A21" s="132" t="s">
        <v>119</v>
      </c>
      <c r="B21" s="133" t="s">
        <v>120</v>
      </c>
      <c r="C21" s="132" t="s">
        <v>19</v>
      </c>
      <c r="D21" s="134"/>
      <c r="E21" s="134"/>
      <c r="F21" s="134"/>
      <c r="G21" s="134"/>
      <c r="H21" s="134"/>
      <c r="I21" s="134"/>
      <c r="J21" s="134"/>
      <c r="K21" s="134"/>
      <c r="L21" s="134"/>
      <c r="M21" s="134"/>
      <c r="N21" s="134"/>
      <c r="O21" s="134"/>
      <c r="P21" s="134"/>
      <c r="Q21" s="134"/>
    </row>
    <row r="22" spans="1:18" s="22" customFormat="1" ht="14.25" customHeight="1" x14ac:dyDescent="0.25">
      <c r="A22" s="22" t="s">
        <v>121</v>
      </c>
      <c r="B22" s="100">
        <v>20000</v>
      </c>
      <c r="C22" s="22" t="s">
        <v>122</v>
      </c>
    </row>
    <row r="23" spans="1:18" s="22" customFormat="1" ht="14.25" customHeight="1" x14ac:dyDescent="0.25">
      <c r="A23" s="22" t="s">
        <v>123</v>
      </c>
      <c r="B23" s="136">
        <f>'Technologie parameters'!Q9</f>
        <v>0.99</v>
      </c>
    </row>
    <row r="24" spans="1:18" s="22" customFormat="1" ht="14.25" customHeight="1" x14ac:dyDescent="0.25">
      <c r="A24" s="112" t="s">
        <v>124</v>
      </c>
      <c r="B24" s="99"/>
      <c r="H24" s="98">
        <f t="shared" ref="H24:Q24" si="0">$B$24</f>
        <v>0</v>
      </c>
      <c r="I24" s="98">
        <f t="shared" si="0"/>
        <v>0</v>
      </c>
      <c r="J24" s="98">
        <f t="shared" si="0"/>
        <v>0</v>
      </c>
      <c r="K24" s="98">
        <f t="shared" si="0"/>
        <v>0</v>
      </c>
      <c r="L24" s="98">
        <f t="shared" si="0"/>
        <v>0</v>
      </c>
      <c r="M24" s="98">
        <f t="shared" si="0"/>
        <v>0</v>
      </c>
      <c r="N24" s="98">
        <f t="shared" si="0"/>
        <v>0</v>
      </c>
      <c r="O24" s="98">
        <f t="shared" si="0"/>
        <v>0</v>
      </c>
      <c r="P24" s="98">
        <f t="shared" si="0"/>
        <v>0</v>
      </c>
      <c r="Q24" s="98">
        <f t="shared" si="0"/>
        <v>0</v>
      </c>
    </row>
    <row r="25" spans="1:18" s="22" customFormat="1" ht="14.25" customHeight="1" x14ac:dyDescent="0.25">
      <c r="B25" s="137"/>
    </row>
    <row r="26" spans="1:18" s="22" customFormat="1" ht="14.25" customHeight="1" x14ac:dyDescent="0.25">
      <c r="A26" s="112" t="s">
        <v>125</v>
      </c>
      <c r="B26" s="138">
        <f>IF(B7=1,B22*B23,B24*B22)</f>
        <v>19800</v>
      </c>
      <c r="C26" s="22" t="s">
        <v>126</v>
      </c>
    </row>
    <row r="27" spans="1:18" s="22" customFormat="1" ht="14.25" customHeight="1" x14ac:dyDescent="0.25">
      <c r="B27" s="139"/>
    </row>
    <row r="28" spans="1:18" s="22" customFormat="1" ht="14.25" customHeight="1" x14ac:dyDescent="0.25"/>
    <row r="29" spans="1:18" s="22" customFormat="1" ht="14.25" customHeight="1" x14ac:dyDescent="0.25">
      <c r="A29" s="22" t="s">
        <v>127</v>
      </c>
      <c r="B29" s="139"/>
      <c r="C29" s="22" t="s">
        <v>128</v>
      </c>
      <c r="H29" s="101">
        <f t="shared" ref="H29:Q29" si="1">$B$30</f>
        <v>3300</v>
      </c>
      <c r="I29" s="101">
        <f t="shared" si="1"/>
        <v>3300</v>
      </c>
      <c r="J29" s="101">
        <f t="shared" si="1"/>
        <v>3300</v>
      </c>
      <c r="K29" s="101">
        <f t="shared" si="1"/>
        <v>3300</v>
      </c>
      <c r="L29" s="101">
        <f t="shared" si="1"/>
        <v>3300</v>
      </c>
      <c r="M29" s="101">
        <f t="shared" si="1"/>
        <v>3300</v>
      </c>
      <c r="N29" s="101">
        <f t="shared" si="1"/>
        <v>3300</v>
      </c>
      <c r="O29" s="101">
        <f t="shared" si="1"/>
        <v>3300</v>
      </c>
      <c r="P29" s="101">
        <f t="shared" si="1"/>
        <v>3300</v>
      </c>
      <c r="Q29" s="101">
        <f t="shared" si="1"/>
        <v>3300</v>
      </c>
      <c r="R29" s="140"/>
    </row>
    <row r="30" spans="1:18" s="22" customFormat="1" ht="13.15" customHeight="1" x14ac:dyDescent="0.25">
      <c r="A30" s="22" t="s">
        <v>59</v>
      </c>
      <c r="B30" s="141">
        <f>IFERROR(_xlfn.XLOOKUP($B$7,tech_param[ID],tech_param[Maximum aantal vollasturen]),"")</f>
        <v>3300</v>
      </c>
      <c r="C30" s="22" t="s">
        <v>128</v>
      </c>
      <c r="H30" s="142"/>
      <c r="I30" s="142"/>
      <c r="J30" s="142"/>
      <c r="K30" s="142"/>
      <c r="L30" s="142"/>
      <c r="M30" s="142"/>
      <c r="N30" s="142"/>
      <c r="O30" s="142"/>
      <c r="P30" s="142"/>
      <c r="Q30" s="142"/>
      <c r="R30" s="140"/>
    </row>
    <row r="31" spans="1:18" s="22" customFormat="1" ht="14.25" customHeight="1" x14ac:dyDescent="0.25">
      <c r="A31" s="22" t="s">
        <v>129</v>
      </c>
      <c r="B31" s="139"/>
      <c r="C31" s="22" t="s">
        <v>128</v>
      </c>
      <c r="H31" s="142">
        <f>MIN($B$30,IF(H29="",0,H29))</f>
        <v>3300</v>
      </c>
      <c r="I31" s="142">
        <f t="shared" ref="I31:Q31" si="2">MIN($B$30,IF(I29="",0,I29))</f>
        <v>3300</v>
      </c>
      <c r="J31" s="142">
        <f t="shared" si="2"/>
        <v>3300</v>
      </c>
      <c r="K31" s="142">
        <f t="shared" si="2"/>
        <v>3300</v>
      </c>
      <c r="L31" s="142">
        <f t="shared" si="2"/>
        <v>3300</v>
      </c>
      <c r="M31" s="142">
        <f t="shared" si="2"/>
        <v>3300</v>
      </c>
      <c r="N31" s="142">
        <f t="shared" si="2"/>
        <v>3300</v>
      </c>
      <c r="O31" s="142">
        <f t="shared" si="2"/>
        <v>3300</v>
      </c>
      <c r="P31" s="142">
        <f t="shared" si="2"/>
        <v>3300</v>
      </c>
      <c r="Q31" s="142">
        <f t="shared" si="2"/>
        <v>3300</v>
      </c>
      <c r="R31" s="140"/>
    </row>
    <row r="32" spans="1:18" s="22" customFormat="1" ht="14.25" customHeight="1" x14ac:dyDescent="0.25">
      <c r="B32" s="139"/>
      <c r="H32" s="142"/>
      <c r="I32" s="142"/>
      <c r="J32" s="142"/>
      <c r="K32" s="142"/>
      <c r="L32" s="142"/>
      <c r="M32" s="142"/>
      <c r="N32" s="142"/>
      <c r="O32" s="142"/>
      <c r="P32" s="142"/>
      <c r="Q32" s="142"/>
      <c r="R32" s="140"/>
    </row>
    <row r="33" spans="1:18" s="22" customFormat="1" ht="14.25" customHeight="1" x14ac:dyDescent="0.25">
      <c r="A33" s="132"/>
      <c r="B33" s="35"/>
      <c r="C33" s="125"/>
      <c r="D33" s="125"/>
      <c r="E33" s="125"/>
      <c r="F33" s="125"/>
      <c r="G33" s="125"/>
      <c r="H33" s="126"/>
      <c r="I33" s="125"/>
      <c r="J33" s="125"/>
      <c r="K33" s="125"/>
      <c r="L33" s="125"/>
      <c r="M33" s="125"/>
      <c r="N33" s="125"/>
      <c r="O33" s="125"/>
      <c r="P33" s="125"/>
      <c r="Q33" s="125"/>
    </row>
    <row r="34" spans="1:18" s="135" customFormat="1" ht="14.25" customHeight="1" x14ac:dyDescent="0.25">
      <c r="A34" s="132" t="s">
        <v>130</v>
      </c>
      <c r="B34" s="133"/>
      <c r="C34" s="132" t="s">
        <v>19</v>
      </c>
      <c r="D34" s="134"/>
      <c r="E34" s="134"/>
      <c r="F34" s="134"/>
      <c r="G34" s="134"/>
      <c r="H34" s="134"/>
      <c r="I34" s="134"/>
      <c r="J34" s="134"/>
      <c r="K34" s="134"/>
      <c r="L34" s="134"/>
      <c r="M34" s="134"/>
      <c r="N34" s="134"/>
      <c r="O34" s="134"/>
      <c r="P34" s="134"/>
      <c r="Q34" s="134"/>
    </row>
    <row r="35" spans="1:18" s="22" customFormat="1" ht="14.25" customHeight="1" x14ac:dyDescent="0.25">
      <c r="A35" s="22" t="s">
        <v>131</v>
      </c>
      <c r="B35" s="139"/>
      <c r="C35" s="22" t="s">
        <v>132</v>
      </c>
      <c r="D35" s="100"/>
      <c r="E35" s="100"/>
      <c r="F35" s="100"/>
      <c r="G35" s="100">
        <v>6000000</v>
      </c>
      <c r="H35" s="35"/>
      <c r="I35" s="143"/>
      <c r="J35" s="143"/>
      <c r="K35" s="143"/>
      <c r="L35" s="143"/>
      <c r="M35" s="143"/>
      <c r="N35" s="143"/>
      <c r="O35" s="143"/>
      <c r="P35" s="143"/>
      <c r="Q35" s="143"/>
      <c r="R35" s="144"/>
    </row>
    <row r="36" spans="1:18" s="22" customFormat="1" ht="14.25" customHeight="1" x14ac:dyDescent="0.25">
      <c r="D36" s="139"/>
      <c r="E36" s="139"/>
      <c r="F36" s="139"/>
      <c r="G36" s="139"/>
      <c r="H36" s="35"/>
      <c r="I36" s="143"/>
      <c r="J36" s="143"/>
      <c r="K36" s="143"/>
      <c r="L36" s="143"/>
      <c r="M36" s="143"/>
      <c r="N36" s="143"/>
      <c r="O36" s="143"/>
      <c r="P36" s="143"/>
      <c r="Q36" s="143"/>
      <c r="R36" s="144"/>
    </row>
    <row r="37" spans="1:18" s="22" customFormat="1" ht="14.25" customHeight="1" x14ac:dyDescent="0.25">
      <c r="A37" s="22" t="s">
        <v>133</v>
      </c>
      <c r="D37" s="139"/>
      <c r="E37" s="139"/>
      <c r="F37" s="139"/>
      <c r="G37" s="139"/>
      <c r="H37" s="102" t="s">
        <v>134</v>
      </c>
      <c r="I37" s="102" t="s">
        <v>134</v>
      </c>
      <c r="J37" s="102" t="s">
        <v>134</v>
      </c>
      <c r="K37" s="102" t="s">
        <v>134</v>
      </c>
      <c r="L37" s="102" t="s">
        <v>134</v>
      </c>
      <c r="M37" s="102" t="s">
        <v>134</v>
      </c>
      <c r="N37" s="102" t="s">
        <v>134</v>
      </c>
      <c r="O37" s="102" t="s">
        <v>134</v>
      </c>
      <c r="P37" s="102" t="s">
        <v>134</v>
      </c>
      <c r="Q37" s="102" t="s">
        <v>134</v>
      </c>
      <c r="R37" s="144"/>
    </row>
    <row r="38" spans="1:18" s="22" customFormat="1" ht="14.25" customHeight="1" x14ac:dyDescent="0.25">
      <c r="A38" s="112" t="s">
        <v>135</v>
      </c>
      <c r="B38" s="139"/>
      <c r="C38" s="22" t="s">
        <v>105</v>
      </c>
      <c r="H38" s="103" cm="1">
        <f t="array" aca="1" ref="H38" ca="1">_xlfn.XLOOKUP("Netkosten " &amp; H37,INDIRECT("prefill[Kostenpost]"),prefill[1])</f>
        <v>45.415199999999999</v>
      </c>
      <c r="I38" s="103" cm="1">
        <f t="array" aca="1" ref="I38" ca="1">_xlfn.XLOOKUP("Netkosten " &amp; I37,INDIRECT("prefill[Kostenpost]"),prefill[2])</f>
        <v>46.323504</v>
      </c>
      <c r="J38" s="103" cm="1">
        <f t="array" aca="1" ref="J38" ca="1">_xlfn.XLOOKUP("Netkosten " &amp; J37,INDIRECT("prefill[Kostenpost]"),prefill[3])</f>
        <v>47.249974080000001</v>
      </c>
      <c r="K38" s="103" cm="1">
        <f t="array" aca="1" ref="K38" ca="1">_xlfn.XLOOKUP("Netkosten " &amp; K37,INDIRECT("prefill[Kostenpost]"),prefill[4])</f>
        <v>48.194973561600001</v>
      </c>
      <c r="L38" s="103" cm="1">
        <f t="array" aca="1" ref="L38" ca="1">_xlfn.XLOOKUP("Netkosten " &amp; L37,INDIRECT("prefill[Kostenpost]"),prefill[5])</f>
        <v>49.158873032832005</v>
      </c>
      <c r="M38" s="103" cm="1">
        <f t="array" aca="1" ref="M38" ca="1">_xlfn.XLOOKUP("Netkosten " &amp; M37,INDIRECT("prefill[Kostenpost]"),prefill[6])</f>
        <v>50.142050493488647</v>
      </c>
      <c r="N38" s="103" cm="1">
        <f t="array" aca="1" ref="N38" ca="1">_xlfn.XLOOKUP("Netkosten " &amp; N37,INDIRECT("prefill[Kostenpost]"),prefill[7])</f>
        <v>51.144891503358423</v>
      </c>
      <c r="O38" s="103" cm="1">
        <f t="array" aca="1" ref="O38" ca="1">_xlfn.XLOOKUP("Netkosten " &amp; O37,INDIRECT("prefill[Kostenpost]"),prefill[8])</f>
        <v>52.167789333425596</v>
      </c>
      <c r="P38" s="103" cm="1">
        <f t="array" aca="1" ref="P38" ca="1">_xlfn.XLOOKUP("Netkosten " &amp; P37,INDIRECT("prefill[Kostenpost]"),prefill[9])</f>
        <v>53.211145120094109</v>
      </c>
      <c r="Q38" s="103" cm="1">
        <f t="array" aca="1" ref="Q38" ca="1">_xlfn.XLOOKUP("Netkosten " &amp; Q37,INDIRECT("prefill[Kostenpost]"),prefill[10])</f>
        <v>54.275368022495989</v>
      </c>
      <c r="R38" s="145"/>
    </row>
    <row r="39" spans="1:18" s="22" customFormat="1" ht="14.25" customHeight="1" x14ac:dyDescent="0.25">
      <c r="A39" s="146" t="s">
        <v>136</v>
      </c>
      <c r="B39" s="136">
        <f>IFERROR(_xlfn.XLOOKUP($B$7,tech_param[ID],tech_param[Correctiefactor netkost]),"")</f>
        <v>0.9</v>
      </c>
      <c r="H39" s="147"/>
      <c r="I39" s="147"/>
      <c r="J39" s="147"/>
      <c r="K39" s="147"/>
      <c r="L39" s="147"/>
      <c r="M39" s="147"/>
      <c r="N39" s="147"/>
      <c r="O39" s="147"/>
      <c r="P39" s="147"/>
      <c r="Q39" s="147"/>
      <c r="R39" s="145"/>
    </row>
    <row r="40" spans="1:18" s="22" customFormat="1" ht="14.25" customHeight="1" x14ac:dyDescent="0.25">
      <c r="A40" s="148" t="s">
        <v>137</v>
      </c>
      <c r="B40" s="139"/>
      <c r="C40" s="22" t="s">
        <v>138</v>
      </c>
      <c r="H40" s="138">
        <f ca="1">IFERROR(H38*$B$39*$B$22,"")</f>
        <v>817473.6</v>
      </c>
      <c r="I40" s="138">
        <f t="shared" ref="I40:Q40" ca="1" si="3">IFERROR(I38*$B$39*$B$22,"")</f>
        <v>833823.07200000004</v>
      </c>
      <c r="J40" s="138">
        <f t="shared" ca="1" si="3"/>
        <v>850499.53344000003</v>
      </c>
      <c r="K40" s="138">
        <f t="shared" ca="1" si="3"/>
        <v>867509.52410879999</v>
      </c>
      <c r="L40" s="138">
        <f t="shared" ca="1" si="3"/>
        <v>884859.71459097613</v>
      </c>
      <c r="M40" s="138">
        <f t="shared" ca="1" si="3"/>
        <v>902556.9088827956</v>
      </c>
      <c r="N40" s="138">
        <f t="shared" ca="1" si="3"/>
        <v>920608.04706045159</v>
      </c>
      <c r="O40" s="138">
        <f t="shared" ca="1" si="3"/>
        <v>939020.20800166065</v>
      </c>
      <c r="P40" s="138">
        <f t="shared" ca="1" si="3"/>
        <v>957800.61216169398</v>
      </c>
      <c r="Q40" s="138">
        <f t="shared" ca="1" si="3"/>
        <v>976956.62440492783</v>
      </c>
      <c r="R40" s="145"/>
    </row>
    <row r="41" spans="1:18" s="22" customFormat="1" ht="14.25" customHeight="1" x14ac:dyDescent="0.25">
      <c r="A41" s="149" t="s">
        <v>139</v>
      </c>
      <c r="B41" s="139"/>
      <c r="C41" s="22" t="s">
        <v>138</v>
      </c>
      <c r="H41" s="100">
        <f>0.04*SUM($D$35:$G$35)</f>
        <v>240000</v>
      </c>
      <c r="I41" s="100">
        <f t="shared" ref="I41:Q41" si="4">0.04*SUM($D$35:$G$35)</f>
        <v>240000</v>
      </c>
      <c r="J41" s="100">
        <f t="shared" si="4"/>
        <v>240000</v>
      </c>
      <c r="K41" s="100">
        <f t="shared" si="4"/>
        <v>240000</v>
      </c>
      <c r="L41" s="100">
        <f t="shared" si="4"/>
        <v>240000</v>
      </c>
      <c r="M41" s="100">
        <f t="shared" si="4"/>
        <v>240000</v>
      </c>
      <c r="N41" s="100">
        <f t="shared" si="4"/>
        <v>240000</v>
      </c>
      <c r="O41" s="100">
        <f t="shared" si="4"/>
        <v>240000</v>
      </c>
      <c r="P41" s="100">
        <f t="shared" si="4"/>
        <v>240000</v>
      </c>
      <c r="Q41" s="100">
        <f t="shared" si="4"/>
        <v>240000</v>
      </c>
      <c r="R41" s="145"/>
    </row>
    <row r="42" spans="1:18" s="22" customFormat="1" ht="14.25" customHeight="1" x14ac:dyDescent="0.25">
      <c r="A42" s="112" t="s">
        <v>140</v>
      </c>
      <c r="B42" s="139"/>
      <c r="C42" s="22" t="s">
        <v>138</v>
      </c>
      <c r="H42" s="139">
        <f ca="1">IFERROR(ABS(H40)+ABS(H41),"")</f>
        <v>1057473.6000000001</v>
      </c>
      <c r="I42" s="139">
        <f t="shared" ref="I42:Q42" ca="1" si="5">IFERROR(ABS(I40)+ABS(I41),"")</f>
        <v>1073823.0720000002</v>
      </c>
      <c r="J42" s="139">
        <f t="shared" ca="1" si="5"/>
        <v>1090499.5334399999</v>
      </c>
      <c r="K42" s="139">
        <f t="shared" ca="1" si="5"/>
        <v>1107509.5241088001</v>
      </c>
      <c r="L42" s="139">
        <f t="shared" ca="1" si="5"/>
        <v>1124859.714590976</v>
      </c>
      <c r="M42" s="139">
        <f t="shared" ca="1" si="5"/>
        <v>1142556.9088827956</v>
      </c>
      <c r="N42" s="139">
        <f t="shared" ca="1" si="5"/>
        <v>1160608.0470604515</v>
      </c>
      <c r="O42" s="139">
        <f t="shared" ca="1" si="5"/>
        <v>1179020.2080016606</v>
      </c>
      <c r="P42" s="139">
        <f t="shared" ca="1" si="5"/>
        <v>1197800.6121616941</v>
      </c>
      <c r="Q42" s="139">
        <f t="shared" ca="1" si="5"/>
        <v>1216956.6244049277</v>
      </c>
      <c r="R42" s="125"/>
    </row>
    <row r="43" spans="1:18" s="22" customFormat="1" ht="14.25" customHeight="1" x14ac:dyDescent="0.25">
      <c r="A43" s="112"/>
      <c r="B43" s="139"/>
      <c r="H43" s="139"/>
      <c r="I43" s="139"/>
      <c r="J43" s="139"/>
      <c r="K43" s="139"/>
      <c r="L43" s="139"/>
      <c r="M43" s="139"/>
      <c r="N43" s="139"/>
      <c r="O43" s="139"/>
      <c r="P43" s="139"/>
      <c r="Q43" s="139"/>
      <c r="R43" s="125"/>
    </row>
    <row r="44" spans="1:18" s="22" customFormat="1" ht="14.25" customHeight="1" x14ac:dyDescent="0.25">
      <c r="A44" s="149" t="s">
        <v>141</v>
      </c>
      <c r="B44" s="35"/>
      <c r="C44" s="22" t="s">
        <v>103</v>
      </c>
      <c r="H44" s="104">
        <f>IF($B$7=1,'Technologie parameters'!C31,'Technologie parameters'!C30)</f>
        <v>4.6227299023047404E-2</v>
      </c>
      <c r="I44" s="104">
        <f>IF($B$7=1,'Technologie parameters'!D31,'Technologie parameters'!D30)</f>
        <v>4.3626157239335696E-2</v>
      </c>
      <c r="J44" s="104">
        <f>IF($B$7=1,'Technologie parameters'!E31,'Technologie parameters'!E30)</f>
        <v>4.0902478864666303E-2</v>
      </c>
      <c r="K44" s="104">
        <f>IF($B$7=1,'Technologie parameters'!F31,'Technologie parameters'!F30)</f>
        <v>3.8052402892114499E-2</v>
      </c>
      <c r="L44" s="104">
        <f>IF($B$7=1,'Technologie parameters'!G31,'Technologie parameters'!G30)</f>
        <v>3.5071962889114704E-2</v>
      </c>
      <c r="M44" s="104">
        <f>IF($B$7=1,'Technologie parameters'!H31,'Technologie parameters'!H30)</f>
        <v>3.5773402146896997E-2</v>
      </c>
      <c r="N44" s="104">
        <f>IF($B$7=1,'Technologie parameters'!I31,'Technologie parameters'!I30)</f>
        <v>3.25962260113348E-2</v>
      </c>
      <c r="O44" s="104">
        <f>IF($B$7=1,'Technologie parameters'!J31,'Technologie parameters'!J30)</f>
        <v>2.9277653469491401E-2</v>
      </c>
      <c r="P44" s="104">
        <f>IF($B$7=1,'Technologie parameters'!K31,'Technologie parameters'!K30)</f>
        <v>2.5813299535569701E-2</v>
      </c>
      <c r="Q44" s="104">
        <f>IF($B$7=1,'Technologie parameters'!L31,'Technologie parameters'!L30)</f>
        <v>2.2198660382903298E-2</v>
      </c>
      <c r="R44" s="150"/>
    </row>
    <row r="45" spans="1:18" s="22" customFormat="1" ht="14.25" customHeight="1" x14ac:dyDescent="0.25">
      <c r="A45" s="151" t="s">
        <v>142</v>
      </c>
      <c r="B45" s="152"/>
      <c r="C45" s="22" t="s">
        <v>103</v>
      </c>
      <c r="H45" s="105">
        <f>'Technologie parameters'!C35</f>
        <v>7.7200000000000003E-3</v>
      </c>
      <c r="I45" s="105">
        <f>'Technologie parameters'!D35</f>
        <v>7.8744000000000001E-3</v>
      </c>
      <c r="J45" s="105">
        <f>'Technologie parameters'!E35</f>
        <v>8.0318880000000009E-3</v>
      </c>
      <c r="K45" s="105">
        <f>'Technologie parameters'!F35</f>
        <v>8.1925257600000013E-3</v>
      </c>
      <c r="L45" s="105">
        <f>'Technologie parameters'!G35</f>
        <v>8.3563762752000021E-3</v>
      </c>
      <c r="M45" s="105">
        <f>'Technologie parameters'!H35</f>
        <v>8.5235038007040031E-3</v>
      </c>
      <c r="N45" s="105">
        <f>'Technologie parameters'!I35</f>
        <v>8.6939738767180825E-3</v>
      </c>
      <c r="O45" s="105">
        <f>'Technologie parameters'!J35</f>
        <v>8.8678533542524435E-3</v>
      </c>
      <c r="P45" s="105">
        <f>'Technologie parameters'!K35</f>
        <v>9.0452104213374924E-3</v>
      </c>
      <c r="Q45" s="105">
        <f>'Technologie parameters'!L35</f>
        <v>9.226114629764243E-3</v>
      </c>
      <c r="R45" s="145"/>
    </row>
    <row r="46" spans="1:18" s="22" customFormat="1" ht="14.25" customHeight="1" x14ac:dyDescent="0.25">
      <c r="A46" s="153" t="s">
        <v>143</v>
      </c>
      <c r="B46" s="31"/>
      <c r="C46" s="22" t="s">
        <v>103</v>
      </c>
      <c r="H46" s="31">
        <f>SUM(H44:H45)</f>
        <v>5.3947299023047401E-2</v>
      </c>
      <c r="I46" s="31">
        <f t="shared" ref="I46:Q46" si="6">SUM(I44:I45)</f>
        <v>5.1500557239335693E-2</v>
      </c>
      <c r="J46" s="31">
        <f t="shared" si="6"/>
        <v>4.8934366864666304E-2</v>
      </c>
      <c r="K46" s="31">
        <f t="shared" si="6"/>
        <v>4.6244928652114499E-2</v>
      </c>
      <c r="L46" s="31">
        <f t="shared" si="6"/>
        <v>4.3428339164314704E-2</v>
      </c>
      <c r="M46" s="31">
        <f t="shared" si="6"/>
        <v>4.4296905947601002E-2</v>
      </c>
      <c r="N46" s="31">
        <f t="shared" si="6"/>
        <v>4.1290199888052881E-2</v>
      </c>
      <c r="O46" s="31">
        <f t="shared" si="6"/>
        <v>3.8145506823743847E-2</v>
      </c>
      <c r="P46" s="31">
        <f t="shared" si="6"/>
        <v>3.4858509956907195E-2</v>
      </c>
      <c r="Q46" s="31">
        <f t="shared" si="6"/>
        <v>3.1424775012667543E-2</v>
      </c>
      <c r="R46" s="125"/>
    </row>
    <row r="47" spans="1:18" s="22" customFormat="1" ht="14.25" customHeight="1" x14ac:dyDescent="0.25">
      <c r="A47" s="154" t="s">
        <v>144</v>
      </c>
      <c r="B47" s="155"/>
      <c r="C47" s="22" t="s">
        <v>138</v>
      </c>
      <c r="H47" s="156">
        <f>IFERROR(H46*($B$22*H29),"")</f>
        <v>3560521.7355211284</v>
      </c>
      <c r="I47" s="156">
        <f t="shared" ref="I47:Q47" si="7">IFERROR(I46*($B$22*I29),"")</f>
        <v>3399036.7777961558</v>
      </c>
      <c r="J47" s="156">
        <f t="shared" si="7"/>
        <v>3229668.2130679758</v>
      </c>
      <c r="K47" s="156">
        <f t="shared" si="7"/>
        <v>3052165.2910395567</v>
      </c>
      <c r="L47" s="156">
        <f t="shared" si="7"/>
        <v>2866270.3848447707</v>
      </c>
      <c r="M47" s="156">
        <f t="shared" si="7"/>
        <v>2923595.792541666</v>
      </c>
      <c r="N47" s="156">
        <f t="shared" si="7"/>
        <v>2725153.1926114899</v>
      </c>
      <c r="O47" s="156">
        <f t="shared" si="7"/>
        <v>2517603.450367094</v>
      </c>
      <c r="P47" s="156">
        <f t="shared" si="7"/>
        <v>2300661.6571558747</v>
      </c>
      <c r="Q47" s="156">
        <f t="shared" si="7"/>
        <v>2074035.1508360577</v>
      </c>
      <c r="R47" s="125"/>
    </row>
    <row r="48" spans="1:18" s="22" customFormat="1" ht="14.25" customHeight="1" x14ac:dyDescent="0.25">
      <c r="A48" s="153" t="s">
        <v>145</v>
      </c>
      <c r="B48" s="157">
        <f>IFERROR(_xlfn.XLOOKUP($B$7,tech_param[ID],tech_param[LT Marktprijs elektriciteit])+_xlfn.XLOOKUP($B$7,tech_param[ID],tech_param[Netkosten op verbruik en heffingen elektriciteit]),"")</f>
        <v>4.2720000000000001E-2</v>
      </c>
      <c r="C48" s="22" t="s">
        <v>103</v>
      </c>
      <c r="H48" s="35"/>
      <c r="I48" s="158"/>
      <c r="J48" s="158"/>
      <c r="K48" s="158"/>
      <c r="L48" s="158"/>
      <c r="M48" s="158"/>
      <c r="N48" s="158"/>
      <c r="O48" s="158"/>
      <c r="P48" s="158"/>
      <c r="Q48" s="158"/>
      <c r="R48" s="125"/>
    </row>
    <row r="49" spans="1:18" s="22" customFormat="1" ht="14.25" customHeight="1" x14ac:dyDescent="0.25">
      <c r="A49" s="21"/>
      <c r="B49" s="152"/>
      <c r="H49" s="35"/>
      <c r="I49" s="158"/>
      <c r="J49" s="158"/>
      <c r="K49" s="158"/>
      <c r="L49" s="158"/>
      <c r="M49" s="158"/>
      <c r="N49" s="158"/>
      <c r="O49" s="158"/>
      <c r="P49" s="158"/>
      <c r="Q49" s="158"/>
      <c r="R49" s="125"/>
    </row>
    <row r="50" spans="1:18" s="135" customFormat="1" ht="14.25" customHeight="1" x14ac:dyDescent="0.25">
      <c r="A50" s="132" t="s">
        <v>146</v>
      </c>
      <c r="B50" s="133"/>
      <c r="C50" s="132" t="s">
        <v>19</v>
      </c>
      <c r="D50" s="134"/>
      <c r="E50" s="134"/>
      <c r="F50" s="134"/>
      <c r="G50" s="134"/>
      <c r="H50" s="134"/>
      <c r="I50" s="134"/>
      <c r="J50" s="134"/>
      <c r="K50" s="134"/>
      <c r="L50" s="134"/>
      <c r="M50" s="134"/>
      <c r="N50" s="134"/>
      <c r="O50" s="134"/>
      <c r="P50" s="134"/>
      <c r="Q50" s="134"/>
    </row>
    <row r="51" spans="1:18" s="22" customFormat="1" ht="14.25" customHeight="1" x14ac:dyDescent="0.25">
      <c r="A51" s="148" t="s">
        <v>147</v>
      </c>
      <c r="B51" s="35"/>
      <c r="C51" s="22" t="s">
        <v>98</v>
      </c>
      <c r="H51" s="106">
        <f>'Technologie parameters'!C26</f>
        <v>2.9914182827597099E-2</v>
      </c>
      <c r="I51" s="106">
        <f>'Technologie parameters'!D26</f>
        <v>2.9914182827597099E-2</v>
      </c>
      <c r="J51" s="106">
        <f>'Technologie parameters'!E26</f>
        <v>2.9914182827597099E-2</v>
      </c>
      <c r="K51" s="106">
        <f>'Technologie parameters'!F26</f>
        <v>2.9914182827597099E-2</v>
      </c>
      <c r="L51" s="106">
        <f>'Technologie parameters'!G26</f>
        <v>3.02673864320675E-2</v>
      </c>
      <c r="M51" s="106">
        <f>'Technologie parameters'!H26</f>
        <v>3.0497761681024103E-2</v>
      </c>
      <c r="N51" s="106">
        <f>'Technologie parameters'!I26</f>
        <v>3.0852735628459003E-2</v>
      </c>
      <c r="O51" s="106">
        <f>'Technologie parameters'!J26</f>
        <v>3.10796689731642E-2</v>
      </c>
      <c r="P51" s="106">
        <f>'Technologie parameters'!K26</f>
        <v>3.17012623526274E-2</v>
      </c>
      <c r="Q51" s="106">
        <f>'Technologie parameters'!L26</f>
        <v>3.2335287599680004E-2</v>
      </c>
      <c r="R51" s="125"/>
    </row>
    <row r="52" spans="1:18" s="22" customFormat="1" ht="14.25" customHeight="1" x14ac:dyDescent="0.25">
      <c r="A52" s="148" t="s">
        <v>148</v>
      </c>
      <c r="B52" s="35"/>
      <c r="C52" s="22" t="s">
        <v>98</v>
      </c>
      <c r="H52" s="107">
        <f>'Technologie parameters'!C27</f>
        <v>1.0324492631999999E-3</v>
      </c>
      <c r="I52" s="107">
        <f>'Technologie parameters'!D27</f>
        <v>1.053098248464E-3</v>
      </c>
      <c r="J52" s="107">
        <f>'Technologie parameters'!E27</f>
        <v>1.0741602134332799E-3</v>
      </c>
      <c r="K52" s="107">
        <f>'Technologie parameters'!F27</f>
        <v>1.0956434177019456E-3</v>
      </c>
      <c r="L52" s="107">
        <f>'Technologie parameters'!G27</f>
        <v>1.1175562860559845E-3</v>
      </c>
      <c r="M52" s="107">
        <f>'Technologie parameters'!H27</f>
        <v>1.1399074117771043E-3</v>
      </c>
      <c r="N52" s="107">
        <f>'Technologie parameters'!I27</f>
        <v>1.1627055600126465E-3</v>
      </c>
      <c r="O52" s="107">
        <f>'Technologie parameters'!J27</f>
        <v>1.1859596712128994E-3</v>
      </c>
      <c r="P52" s="107">
        <f>'Technologie parameters'!K27</f>
        <v>1.2096788646371573E-3</v>
      </c>
      <c r="Q52" s="107">
        <f>'Technologie parameters'!L27</f>
        <v>1.2338724419299005E-3</v>
      </c>
      <c r="R52" s="125"/>
    </row>
    <row r="53" spans="1:18" s="22" customFormat="1" ht="14.25" customHeight="1" x14ac:dyDescent="0.25">
      <c r="A53" s="22" t="s">
        <v>149</v>
      </c>
      <c r="B53" s="35"/>
      <c r="C53" s="22" t="s">
        <v>98</v>
      </c>
      <c r="H53" s="152">
        <f t="shared" ref="H53:Q53" si="8">H51+H52</f>
        <v>3.0946632090797101E-2</v>
      </c>
      <c r="I53" s="152">
        <f t="shared" si="8"/>
        <v>3.0967281076061101E-2</v>
      </c>
      <c r="J53" s="152">
        <f t="shared" si="8"/>
        <v>3.0988343041030379E-2</v>
      </c>
      <c r="K53" s="152">
        <f t="shared" si="8"/>
        <v>3.1009826245299046E-2</v>
      </c>
      <c r="L53" s="152">
        <f t="shared" si="8"/>
        <v>3.1384942718123483E-2</v>
      </c>
      <c r="M53" s="152">
        <f t="shared" si="8"/>
        <v>3.1637669092801204E-2</v>
      </c>
      <c r="N53" s="152">
        <f t="shared" si="8"/>
        <v>3.2015441188471647E-2</v>
      </c>
      <c r="O53" s="152">
        <f t="shared" si="8"/>
        <v>3.2265628644377098E-2</v>
      </c>
      <c r="P53" s="152">
        <f t="shared" si="8"/>
        <v>3.291094121726456E-2</v>
      </c>
      <c r="Q53" s="152">
        <f t="shared" si="8"/>
        <v>3.3569160041609904E-2</v>
      </c>
      <c r="R53" s="125"/>
    </row>
    <row r="54" spans="1:18" s="22" customFormat="1" ht="14.25" customHeight="1" x14ac:dyDescent="0.25">
      <c r="B54" s="35"/>
      <c r="H54" s="35"/>
      <c r="I54" s="158"/>
      <c r="J54" s="158"/>
      <c r="K54" s="158"/>
      <c r="L54" s="158"/>
      <c r="M54" s="158"/>
      <c r="N54" s="158"/>
      <c r="O54" s="158"/>
      <c r="P54" s="158"/>
      <c r="Q54" s="158"/>
      <c r="R54" s="125"/>
    </row>
    <row r="55" spans="1:18" s="22" customFormat="1" ht="14.25" customHeight="1" x14ac:dyDescent="0.25">
      <c r="A55" s="22" t="s">
        <v>150</v>
      </c>
      <c r="B55" s="114"/>
      <c r="H55" s="35"/>
      <c r="I55" s="158"/>
      <c r="J55" s="158"/>
      <c r="K55" s="158"/>
      <c r="L55" s="158"/>
      <c r="M55" s="158"/>
      <c r="N55" s="158"/>
      <c r="O55" s="158"/>
      <c r="P55" s="158"/>
      <c r="Q55" s="158"/>
      <c r="R55" s="125"/>
    </row>
    <row r="56" spans="1:18" s="22" customFormat="1" ht="14.25" customHeight="1" x14ac:dyDescent="0.25">
      <c r="A56" s="159" t="s">
        <v>151</v>
      </c>
      <c r="B56" s="114"/>
      <c r="H56" s="102" t="s">
        <v>152</v>
      </c>
      <c r="I56" s="102" t="s">
        <v>152</v>
      </c>
      <c r="J56" s="102" t="s">
        <v>152</v>
      </c>
      <c r="K56" s="102" t="s">
        <v>152</v>
      </c>
      <c r="L56" s="102" t="s">
        <v>152</v>
      </c>
      <c r="M56" s="102" t="s">
        <v>152</v>
      </c>
      <c r="N56" s="102" t="s">
        <v>152</v>
      </c>
      <c r="O56" s="102" t="s">
        <v>152</v>
      </c>
      <c r="P56" s="102" t="s">
        <v>152</v>
      </c>
      <c r="Q56" s="102" t="s">
        <v>152</v>
      </c>
      <c r="R56" s="125"/>
    </row>
    <row r="57" spans="1:18" s="22" customFormat="1" ht="14.25" customHeight="1" x14ac:dyDescent="0.25">
      <c r="A57" s="159" t="s">
        <v>153</v>
      </c>
      <c r="B57" s="114"/>
      <c r="C57" s="22" t="s">
        <v>77</v>
      </c>
      <c r="H57" s="103">
        <f>'Technologie parameters'!C28</f>
        <v>87.5</v>
      </c>
      <c r="I57" s="103">
        <f>'Technologie parameters'!D28</f>
        <v>93.5</v>
      </c>
      <c r="J57" s="103">
        <f>'Technologie parameters'!E28</f>
        <v>99.5</v>
      </c>
      <c r="K57" s="103">
        <f>'Technologie parameters'!F28</f>
        <v>105.5</v>
      </c>
      <c r="L57" s="103">
        <f>'Technologie parameters'!G28</f>
        <v>111.5</v>
      </c>
      <c r="M57" s="103">
        <f>'Technologie parameters'!H28</f>
        <v>117.5</v>
      </c>
      <c r="N57" s="103">
        <f>'Technologie parameters'!I28</f>
        <v>123.5</v>
      </c>
      <c r="O57" s="103">
        <f>'Technologie parameters'!J28</f>
        <v>129.5</v>
      </c>
      <c r="P57" s="103">
        <f>'Technologie parameters'!K28</f>
        <v>135.5</v>
      </c>
      <c r="Q57" s="103">
        <f>'Technologie parameters'!L28</f>
        <v>141.5</v>
      </c>
      <c r="R57" s="125"/>
    </row>
    <row r="58" spans="1:18" s="22" customFormat="1" ht="14.25" customHeight="1" x14ac:dyDescent="0.25">
      <c r="A58" s="160" t="s">
        <v>101</v>
      </c>
      <c r="B58" s="114"/>
      <c r="C58" s="22" t="s">
        <v>77</v>
      </c>
      <c r="H58" s="103">
        <f>'Technologie parameters'!C29</f>
        <v>32.618529359275406</v>
      </c>
      <c r="I58" s="103">
        <f>'Technologie parameters'!D29</f>
        <v>44.361199928614553</v>
      </c>
      <c r="J58" s="103">
        <f>'Technologie parameters'!E29</f>
        <v>50.904476918085194</v>
      </c>
      <c r="K58" s="103">
        <f>'Technologie parameters'!F29</f>
        <v>63.460914557879548</v>
      </c>
      <c r="L58" s="103">
        <f>'Technologie parameters'!G29</f>
        <v>64.730132849037133</v>
      </c>
      <c r="M58" s="103">
        <f>'Technologie parameters'!H29</f>
        <v>66.024735506017876</v>
      </c>
      <c r="N58" s="103">
        <f>'Technologie parameters'!I29</f>
        <v>67.345230216138233</v>
      </c>
      <c r="O58" s="103">
        <f>'Technologie parameters'!J29</f>
        <v>68.692134820461007</v>
      </c>
      <c r="P58" s="103">
        <f>'Technologie parameters'!K29</f>
        <v>70.065977516870205</v>
      </c>
      <c r="Q58" s="103">
        <f>'Technologie parameters'!L29</f>
        <v>71.467297067207625</v>
      </c>
      <c r="R58" s="125"/>
    </row>
    <row r="59" spans="1:18" s="22" customFormat="1" ht="14.25" customHeight="1" x14ac:dyDescent="0.25">
      <c r="A59" s="160" t="s">
        <v>154</v>
      </c>
      <c r="B59" s="114"/>
      <c r="C59" s="161"/>
      <c r="D59" s="161"/>
      <c r="E59" s="161"/>
      <c r="F59" s="161"/>
      <c r="G59" s="21"/>
      <c r="H59" s="108">
        <v>0</v>
      </c>
      <c r="I59" s="108">
        <v>0</v>
      </c>
      <c r="J59" s="108">
        <v>0</v>
      </c>
      <c r="K59" s="108">
        <v>0</v>
      </c>
      <c r="L59" s="108">
        <v>0</v>
      </c>
      <c r="M59" s="108">
        <v>0</v>
      </c>
      <c r="N59" s="108">
        <v>0</v>
      </c>
      <c r="O59" s="108">
        <v>0</v>
      </c>
      <c r="P59" s="108">
        <v>0</v>
      </c>
      <c r="Q59" s="108">
        <v>0</v>
      </c>
      <c r="R59" s="125"/>
    </row>
    <row r="60" spans="1:18" s="22" customFormat="1" ht="14.25" customHeight="1" x14ac:dyDescent="0.25">
      <c r="A60" s="160"/>
      <c r="B60" s="162"/>
      <c r="C60" s="161"/>
      <c r="D60" s="161"/>
      <c r="E60" s="161"/>
      <c r="F60" s="161"/>
      <c r="G60" s="163"/>
      <c r="H60" s="163"/>
      <c r="I60" s="163"/>
      <c r="J60" s="163"/>
      <c r="K60" s="163"/>
      <c r="L60" s="163"/>
      <c r="M60" s="163"/>
      <c r="N60" s="163"/>
      <c r="O60" s="163"/>
      <c r="P60" s="163"/>
      <c r="Q60" s="163"/>
      <c r="R60" s="125"/>
    </row>
    <row r="61" spans="1:18" s="22" customFormat="1" ht="14.25" customHeight="1" x14ac:dyDescent="0.25">
      <c r="A61" s="160" t="s">
        <v>155</v>
      </c>
      <c r="B61" s="35"/>
      <c r="C61" s="21" t="s">
        <v>138</v>
      </c>
      <c r="D61" s="100">
        <v>0</v>
      </c>
      <c r="E61" s="100">
        <v>0</v>
      </c>
      <c r="F61" s="100">
        <v>0</v>
      </c>
      <c r="G61" s="100">
        <v>0</v>
      </c>
      <c r="H61" s="100">
        <v>200000</v>
      </c>
      <c r="I61" s="100">
        <v>200000</v>
      </c>
      <c r="J61" s="100">
        <v>200000</v>
      </c>
      <c r="K61" s="100">
        <v>200000</v>
      </c>
      <c r="L61" s="100">
        <v>0</v>
      </c>
      <c r="M61" s="100">
        <v>0</v>
      </c>
      <c r="N61" s="100">
        <v>0</v>
      </c>
      <c r="O61" s="100">
        <v>0</v>
      </c>
      <c r="P61" s="100">
        <v>0</v>
      </c>
      <c r="Q61" s="100">
        <v>0</v>
      </c>
      <c r="R61" s="125"/>
    </row>
    <row r="62" spans="1:18" s="22" customFormat="1" ht="14.25" customHeight="1" x14ac:dyDescent="0.25">
      <c r="A62" s="21" t="s">
        <v>156</v>
      </c>
      <c r="B62" s="35"/>
      <c r="C62" s="21" t="s">
        <v>81</v>
      </c>
      <c r="D62" s="139"/>
      <c r="E62" s="139"/>
      <c r="F62" s="139"/>
      <c r="G62" s="139"/>
      <c r="H62" s="109">
        <v>0</v>
      </c>
      <c r="I62" s="109">
        <v>0</v>
      </c>
      <c r="J62" s="109">
        <v>0</v>
      </c>
      <c r="K62" s="109">
        <v>0</v>
      </c>
      <c r="L62" s="109">
        <v>0</v>
      </c>
      <c r="M62" s="109">
        <v>0</v>
      </c>
      <c r="N62" s="109">
        <v>0</v>
      </c>
      <c r="O62" s="109">
        <v>0</v>
      </c>
      <c r="P62" s="109">
        <v>0</v>
      </c>
      <c r="Q62" s="109">
        <v>0</v>
      </c>
      <c r="R62" s="125"/>
    </row>
    <row r="63" spans="1:18" s="22" customFormat="1" ht="14.25" customHeight="1" x14ac:dyDescent="0.25">
      <c r="A63" s="21" t="s">
        <v>157</v>
      </c>
      <c r="B63" s="155"/>
      <c r="C63" s="161" t="s">
        <v>138</v>
      </c>
      <c r="D63" s="100">
        <v>0</v>
      </c>
      <c r="E63" s="100">
        <v>0</v>
      </c>
      <c r="F63" s="100">
        <v>0</v>
      </c>
      <c r="G63" s="100">
        <v>0</v>
      </c>
      <c r="H63" s="100">
        <v>0</v>
      </c>
      <c r="I63" s="100">
        <v>0</v>
      </c>
      <c r="J63" s="100">
        <v>0</v>
      </c>
      <c r="K63" s="100">
        <v>0</v>
      </c>
      <c r="L63" s="100">
        <v>0</v>
      </c>
      <c r="M63" s="100">
        <v>0</v>
      </c>
      <c r="N63" s="100">
        <v>0</v>
      </c>
      <c r="O63" s="100">
        <v>0</v>
      </c>
      <c r="P63" s="100">
        <v>0</v>
      </c>
      <c r="Q63" s="100">
        <v>0</v>
      </c>
      <c r="R63" s="125"/>
    </row>
    <row r="64" spans="1:18" s="22" customFormat="1" ht="14.25" customHeight="1" x14ac:dyDescent="0.25">
      <c r="A64" s="21"/>
      <c r="B64" s="155"/>
      <c r="C64" s="161"/>
      <c r="D64" s="161"/>
      <c r="E64" s="161"/>
      <c r="F64" s="161"/>
      <c r="G64" s="21"/>
      <c r="H64" s="150"/>
      <c r="I64" s="150"/>
      <c r="J64" s="150"/>
      <c r="K64" s="150"/>
      <c r="L64" s="150"/>
      <c r="M64" s="150"/>
      <c r="N64" s="150"/>
      <c r="O64" s="150"/>
      <c r="P64" s="150"/>
      <c r="Q64" s="150"/>
      <c r="R64" s="125"/>
    </row>
    <row r="65" spans="1:19" s="135" customFormat="1" ht="14.25" customHeight="1" x14ac:dyDescent="0.25">
      <c r="A65" s="132" t="s">
        <v>158</v>
      </c>
      <c r="B65" s="133"/>
      <c r="C65" s="132" t="s">
        <v>159</v>
      </c>
      <c r="D65" s="134"/>
      <c r="E65" s="134"/>
      <c r="F65" s="134"/>
      <c r="G65" s="134"/>
      <c r="H65" s="134"/>
      <c r="I65" s="134"/>
      <c r="J65" s="134"/>
      <c r="K65" s="134"/>
      <c r="L65" s="134"/>
      <c r="M65" s="134"/>
      <c r="N65" s="134"/>
      <c r="O65" s="134"/>
      <c r="P65" s="134"/>
      <c r="Q65" s="134"/>
    </row>
    <row r="66" spans="1:19" s="22" customFormat="1" ht="14.25" customHeight="1" x14ac:dyDescent="0.25">
      <c r="C66" s="112" t="s">
        <v>160</v>
      </c>
      <c r="D66" s="161"/>
      <c r="E66" s="161"/>
      <c r="F66" s="161"/>
      <c r="G66" s="21"/>
      <c r="H66" s="164">
        <f>IFERROR(IF(H56="ETS1",VLOOKUP($B$6,tech_param[],10,FALSE),IF(H56="ETS2",VLOOKUP($B$6,tech_param[],11,FALSE),VLOOKUP($B$6,tech_param[],12,FALSE))),"")</f>
        <v>279.56</v>
      </c>
      <c r="I66" s="164">
        <f>IFERROR(IF(I56="ETS1",VLOOKUP($B$6,tech_param[],10,FALSE),IF(I56="ETS2",VLOOKUP($B$6,tech_param[],11,FALSE),VLOOKUP($B$6,tech_param[],12,FALSE))),"")</f>
        <v>279.56</v>
      </c>
      <c r="J66" s="164">
        <f>IFERROR(IF(J56="ETS1",VLOOKUP($B$6,tech_param[],10,FALSE),IF(J56="ETS2",VLOOKUP($B$6,tech_param[],11,FALSE),VLOOKUP($B$6,tech_param[],12,FALSE))),"")</f>
        <v>279.56</v>
      </c>
      <c r="K66" s="164">
        <f>IFERROR(IF(K56="ETS1",VLOOKUP($B$6,tech_param[],10,FALSE),IF(K56="ETS2",VLOOKUP($B$6,tech_param[],11,FALSE),VLOOKUP($B$6,tech_param[],12,FALSE))),"")</f>
        <v>279.56</v>
      </c>
      <c r="L66" s="164">
        <f>IFERROR(IF(L56="ETS1",VLOOKUP($B$6,tech_param[],10,FALSE),IF(L56="ETS2",VLOOKUP($B$6,tech_param[],11,FALSE),VLOOKUP($B$6,tech_param[],12,FALSE))),"")</f>
        <v>279.56</v>
      </c>
      <c r="M66" s="164">
        <f>IFERROR(IF(M56="ETS1",VLOOKUP($B$6,tech_param[],10,FALSE),IF(M56="ETS2",VLOOKUP($B$6,tech_param[],11,FALSE),VLOOKUP($B$6,tech_param[],12,FALSE))),"")</f>
        <v>279.56</v>
      </c>
      <c r="N66" s="164">
        <f>IFERROR(IF(N56="ETS1",VLOOKUP($B$6,tech_param[],10,FALSE),IF(N56="ETS2",VLOOKUP($B$6,tech_param[],11,FALSE),VLOOKUP($B$6,tech_param[],12,FALSE))),"")</f>
        <v>279.56</v>
      </c>
      <c r="O66" s="164">
        <f>IFERROR(IF(O56="ETS1",VLOOKUP($B$6,tech_param[],10,FALSE),IF(O56="ETS2",VLOOKUP($B$6,tech_param[],11,FALSE),VLOOKUP($B$6,tech_param[],12,FALSE))),"")</f>
        <v>279.56</v>
      </c>
      <c r="P66" s="164">
        <f>IFERROR(IF(P56="ETS1",VLOOKUP($B$6,tech_param[],10,FALSE),IF(P56="ETS2",VLOOKUP($B$6,tech_param[],11,FALSE),VLOOKUP($B$6,tech_param[],12,FALSE))),"")</f>
        <v>279.56</v>
      </c>
      <c r="Q66" s="164">
        <f>IFERROR(IF(Q56="ETS1",VLOOKUP($B$6,tech_param[],10,FALSE),IF(Q56="ETS2",VLOOKUP($B$6,tech_param[],11,FALSE),VLOOKUP($B$6,tech_param[],12,FALSE))),"")</f>
        <v>279.56</v>
      </c>
      <c r="R66" s="125"/>
    </row>
    <row r="67" spans="1:19" s="22" customFormat="1" ht="14.25" customHeight="1" x14ac:dyDescent="0.25">
      <c r="A67" s="21"/>
      <c r="B67" s="155"/>
      <c r="C67" s="161"/>
      <c r="D67" s="161"/>
      <c r="E67" s="161"/>
      <c r="F67" s="161"/>
      <c r="G67" s="21"/>
      <c r="H67" s="163"/>
      <c r="I67" s="163"/>
      <c r="J67" s="163"/>
      <c r="K67" s="163"/>
      <c r="L67" s="163"/>
      <c r="M67" s="163"/>
      <c r="N67" s="163"/>
      <c r="O67" s="163"/>
      <c r="P67" s="163"/>
      <c r="Q67" s="163"/>
      <c r="R67" s="125"/>
    </row>
    <row r="68" spans="1:19" s="135" customFormat="1" ht="14.25" customHeight="1" x14ac:dyDescent="0.25">
      <c r="A68" s="132" t="s">
        <v>161</v>
      </c>
      <c r="B68" s="133" t="s">
        <v>18</v>
      </c>
      <c r="C68" s="132" t="s">
        <v>159</v>
      </c>
      <c r="D68" s="134"/>
      <c r="E68" s="134"/>
      <c r="F68" s="134"/>
      <c r="G68" s="134"/>
      <c r="H68" s="134"/>
      <c r="I68" s="134"/>
      <c r="J68" s="134"/>
      <c r="K68" s="134"/>
      <c r="L68" s="134"/>
      <c r="M68" s="134"/>
      <c r="N68" s="134"/>
      <c r="O68" s="134"/>
      <c r="P68" s="134"/>
      <c r="Q68" s="134"/>
    </row>
    <row r="69" spans="1:19" s="22" customFormat="1" ht="14.25" customHeight="1" x14ac:dyDescent="0.25">
      <c r="A69" s="22" t="s">
        <v>162</v>
      </c>
      <c r="B69" s="157">
        <f>'Algemene parameters'!$B$15</f>
        <v>0.22487999999999997</v>
      </c>
      <c r="C69" s="22" t="s">
        <v>163</v>
      </c>
      <c r="H69" s="125"/>
      <c r="I69" s="165"/>
      <c r="J69" s="125"/>
      <c r="K69" s="125"/>
      <c r="L69" s="125"/>
      <c r="M69" s="125"/>
      <c r="N69" s="125"/>
      <c r="O69" s="125"/>
      <c r="P69" s="125"/>
      <c r="Q69" s="125"/>
      <c r="R69" s="166"/>
    </row>
    <row r="70" spans="1:19" s="22" customFormat="1" ht="14.25" customHeight="1" x14ac:dyDescent="0.25">
      <c r="A70" s="22" t="s">
        <v>164</v>
      </c>
      <c r="B70" s="157">
        <f>IFERROR(_xlfn.XLOOKUP($B$7,tech_param[ID],tech_param[Emissiefactor elektriciteit]),"")</f>
        <v>5.2999999999999999E-2</v>
      </c>
      <c r="C70" s="22" t="s">
        <v>165</v>
      </c>
      <c r="I70" s="125"/>
      <c r="J70" s="166"/>
      <c r="K70" s="166"/>
      <c r="L70" s="166"/>
      <c r="M70" s="166"/>
      <c r="N70" s="166"/>
      <c r="O70" s="166"/>
      <c r="P70" s="166"/>
      <c r="Q70" s="166"/>
      <c r="R70" s="167"/>
    </row>
    <row r="71" spans="1:19" s="22" customFormat="1" ht="14.25" customHeight="1" x14ac:dyDescent="0.25">
      <c r="A71" s="112" t="s">
        <v>166</v>
      </c>
      <c r="B71" s="31">
        <f>IFERROR($B$69-$B$70/(IF($B$7=1,$B$23,B24)),"")</f>
        <v>0.17134464646464642</v>
      </c>
      <c r="C71" s="22" t="s">
        <v>163</v>
      </c>
      <c r="H71" s="31">
        <f>IFERROR($B$69-$B$70/(IF($B$7=1,$B$23,H24)),"")</f>
        <v>0.17134464646464642</v>
      </c>
      <c r="I71" s="31">
        <f t="shared" ref="I71:Q71" si="9">IFERROR($B$69-$B$70/(IF($B$7=1,$B$23,I24)),"")</f>
        <v>0.17134464646464642</v>
      </c>
      <c r="J71" s="31">
        <f t="shared" si="9"/>
        <v>0.17134464646464642</v>
      </c>
      <c r="K71" s="31">
        <f t="shared" si="9"/>
        <v>0.17134464646464642</v>
      </c>
      <c r="L71" s="31">
        <f t="shared" si="9"/>
        <v>0.17134464646464642</v>
      </c>
      <c r="M71" s="31">
        <f t="shared" si="9"/>
        <v>0.17134464646464642</v>
      </c>
      <c r="N71" s="31">
        <f t="shared" si="9"/>
        <v>0.17134464646464642</v>
      </c>
      <c r="O71" s="31">
        <f t="shared" si="9"/>
        <v>0.17134464646464642</v>
      </c>
      <c r="P71" s="31">
        <f t="shared" si="9"/>
        <v>0.17134464646464642</v>
      </c>
      <c r="Q71" s="31">
        <f t="shared" si="9"/>
        <v>0.17134464646464642</v>
      </c>
      <c r="R71" s="125"/>
    </row>
    <row r="72" spans="1:19" s="22" customFormat="1" ht="14.25" customHeight="1" x14ac:dyDescent="0.25">
      <c r="H72" s="125"/>
      <c r="I72" s="125"/>
      <c r="J72" s="125"/>
      <c r="K72" s="125"/>
      <c r="L72" s="125"/>
      <c r="M72" s="125"/>
      <c r="N72" s="125"/>
      <c r="O72" s="125"/>
      <c r="P72" s="125"/>
      <c r="Q72" s="125"/>
      <c r="R72" s="125"/>
    </row>
    <row r="73" spans="1:19" s="135" customFormat="1" ht="14.25" customHeight="1" x14ac:dyDescent="0.25">
      <c r="A73" s="132" t="s">
        <v>36</v>
      </c>
      <c r="B73" s="133" t="s">
        <v>18</v>
      </c>
      <c r="C73" s="132" t="s">
        <v>19</v>
      </c>
      <c r="D73" s="134"/>
      <c r="E73" s="134"/>
      <c r="F73" s="134"/>
      <c r="G73" s="134"/>
      <c r="H73" s="134"/>
      <c r="I73" s="134"/>
      <c r="J73" s="134"/>
      <c r="K73" s="134"/>
      <c r="L73" s="134"/>
      <c r="M73" s="134"/>
      <c r="N73" s="134"/>
      <c r="O73" s="134"/>
      <c r="P73" s="134"/>
      <c r="Q73" s="134"/>
    </row>
    <row r="74" spans="1:19" s="22" customFormat="1" ht="14.25" customHeight="1" x14ac:dyDescent="0.25">
      <c r="A74" s="22" t="s">
        <v>60</v>
      </c>
      <c r="B74" s="168">
        <f>IFERROR(_xlfn.XLOOKUP($B$7,tech_param[ID],tech_param[Economische levensduur]),"")</f>
        <v>10</v>
      </c>
      <c r="C74" s="22" t="s">
        <v>38</v>
      </c>
      <c r="H74" s="125"/>
      <c r="I74" s="125"/>
      <c r="J74" s="125"/>
      <c r="K74" s="125"/>
      <c r="L74" s="125"/>
      <c r="M74" s="125"/>
      <c r="N74" s="125"/>
      <c r="O74" s="125"/>
      <c r="P74" s="125"/>
      <c r="Q74" s="125"/>
      <c r="R74" s="125"/>
    </row>
    <row r="75" spans="1:19" s="22" customFormat="1" ht="14.25" customHeight="1" x14ac:dyDescent="0.25">
      <c r="A75" s="22" t="s">
        <v>37</v>
      </c>
      <c r="B75" s="168">
        <v>10</v>
      </c>
      <c r="C75" s="22" t="s">
        <v>38</v>
      </c>
      <c r="H75" s="125"/>
      <c r="I75" s="125"/>
      <c r="J75" s="125"/>
      <c r="K75" s="125"/>
      <c r="L75" s="125"/>
      <c r="M75" s="125"/>
      <c r="N75" s="125"/>
      <c r="O75" s="125"/>
      <c r="P75" s="125"/>
      <c r="Q75" s="125"/>
      <c r="R75" s="125"/>
    </row>
    <row r="76" spans="1:19" s="22" customFormat="1" ht="14.25" customHeight="1" x14ac:dyDescent="0.25">
      <c r="A76" s="22" t="s">
        <v>167</v>
      </c>
      <c r="B76" s="168">
        <v>10</v>
      </c>
      <c r="C76" s="22" t="s">
        <v>38</v>
      </c>
      <c r="H76" s="125"/>
      <c r="I76" s="125"/>
      <c r="J76" s="125"/>
      <c r="K76" s="125"/>
      <c r="L76" s="125"/>
      <c r="M76" s="125"/>
      <c r="N76" s="125"/>
      <c r="O76" s="125"/>
      <c r="P76" s="125"/>
      <c r="Q76" s="125"/>
      <c r="R76" s="125"/>
    </row>
    <row r="77" spans="1:19" s="22" customFormat="1" ht="14.25" customHeight="1" x14ac:dyDescent="0.25">
      <c r="A77" s="22" t="s">
        <v>39</v>
      </c>
      <c r="B77" s="169">
        <f>'Algemene parameters'!B26</f>
        <v>0.02</v>
      </c>
      <c r="H77" s="125"/>
      <c r="I77" s="125"/>
      <c r="J77" s="125"/>
      <c r="K77" s="125"/>
      <c r="L77" s="125"/>
      <c r="M77" s="125"/>
      <c r="N77" s="125"/>
      <c r="O77" s="125"/>
      <c r="P77" s="125"/>
      <c r="Q77" s="125"/>
      <c r="R77" s="125"/>
      <c r="S77" s="112"/>
    </row>
    <row r="78" spans="1:19" s="22" customFormat="1" ht="14.25" customHeight="1" x14ac:dyDescent="0.25">
      <c r="A78" s="22" t="s">
        <v>41</v>
      </c>
      <c r="B78" s="169">
        <f>'Algemene parameters'!B27</f>
        <v>5.7500000000000002E-2</v>
      </c>
      <c r="H78" s="125"/>
      <c r="I78" s="163"/>
      <c r="J78" s="163"/>
      <c r="K78" s="163"/>
      <c r="L78" s="163"/>
      <c r="M78" s="163"/>
      <c r="N78" s="163"/>
      <c r="O78" s="163"/>
      <c r="P78" s="163"/>
      <c r="Q78" s="163"/>
      <c r="R78" s="125"/>
    </row>
    <row r="79" spans="1:19" s="22" customFormat="1" ht="14.25" customHeight="1" x14ac:dyDescent="0.25">
      <c r="A79" s="22" t="s">
        <v>43</v>
      </c>
      <c r="B79" s="169">
        <v>0.12</v>
      </c>
      <c r="C79" s="158"/>
      <c r="H79" s="125"/>
      <c r="I79" s="125"/>
      <c r="J79" s="125"/>
      <c r="K79" s="125"/>
      <c r="L79" s="125"/>
      <c r="M79" s="125"/>
      <c r="N79" s="125"/>
      <c r="O79" s="125"/>
      <c r="P79" s="125"/>
      <c r="Q79" s="125"/>
      <c r="R79" s="125"/>
    </row>
    <row r="80" spans="1:19" s="22" customFormat="1" ht="14.25" customHeight="1" x14ac:dyDescent="0.25">
      <c r="A80" s="22" t="s">
        <v>45</v>
      </c>
      <c r="B80" s="170">
        <f>'Algemene parameters'!B29</f>
        <v>0.58200000000000007</v>
      </c>
      <c r="H80" s="125"/>
      <c r="I80" s="125"/>
      <c r="J80" s="125"/>
      <c r="K80" s="125"/>
      <c r="L80" s="125"/>
      <c r="M80" s="125"/>
      <c r="N80" s="125"/>
      <c r="O80" s="125"/>
      <c r="P80" s="125"/>
      <c r="Q80" s="125"/>
      <c r="R80" s="125"/>
    </row>
    <row r="81" spans="1:18" s="22" customFormat="1" ht="14.25" customHeight="1" x14ac:dyDescent="0.25">
      <c r="A81" s="22" t="s">
        <v>47</v>
      </c>
      <c r="B81" s="170">
        <f>'Algemene parameters'!B30</f>
        <v>0.41799999999999998</v>
      </c>
      <c r="H81" s="125"/>
      <c r="I81" s="125"/>
      <c r="J81" s="125"/>
      <c r="K81" s="125"/>
      <c r="L81" s="125"/>
      <c r="M81" s="125"/>
      <c r="N81" s="125"/>
      <c r="O81" s="125"/>
      <c r="P81" s="125"/>
      <c r="Q81" s="125"/>
      <c r="R81" s="125"/>
    </row>
    <row r="82" spans="1:18" s="22" customFormat="1" ht="14.25" customHeight="1" x14ac:dyDescent="0.25">
      <c r="A82" s="22" t="s">
        <v>48</v>
      </c>
      <c r="B82" s="171">
        <f>'Algemene parameters'!B31</f>
        <v>0.25</v>
      </c>
      <c r="D82" s="35"/>
      <c r="E82" s="35"/>
      <c r="F82" s="35"/>
      <c r="G82" s="155"/>
      <c r="H82" s="110">
        <f>$B$82</f>
        <v>0.25</v>
      </c>
      <c r="I82" s="110">
        <f t="shared" ref="I82:Q82" si="10">$B$82</f>
        <v>0.25</v>
      </c>
      <c r="J82" s="110">
        <f t="shared" si="10"/>
        <v>0.25</v>
      </c>
      <c r="K82" s="110">
        <f t="shared" si="10"/>
        <v>0.25</v>
      </c>
      <c r="L82" s="110">
        <f t="shared" si="10"/>
        <v>0.25</v>
      </c>
      <c r="M82" s="110">
        <f t="shared" si="10"/>
        <v>0.25</v>
      </c>
      <c r="N82" s="110">
        <f t="shared" si="10"/>
        <v>0.25</v>
      </c>
      <c r="O82" s="110">
        <f t="shared" si="10"/>
        <v>0.25</v>
      </c>
      <c r="P82" s="110">
        <f t="shared" si="10"/>
        <v>0.25</v>
      </c>
      <c r="Q82" s="110">
        <f t="shared" si="10"/>
        <v>0.25</v>
      </c>
    </row>
    <row r="83" spans="1:18" s="22" customFormat="1" ht="14.25" customHeight="1" x14ac:dyDescent="0.25">
      <c r="A83" s="22" t="s">
        <v>49</v>
      </c>
      <c r="B83" s="34">
        <f>($B$81*$B$79)+(($B$80*$B$78)*(1-B82))</f>
        <v>7.5258749999999999E-2</v>
      </c>
      <c r="D83" s="34">
        <f>E83</f>
        <v>7.5258749999999999E-2</v>
      </c>
      <c r="E83" s="34">
        <f>F83</f>
        <v>7.5258749999999999E-2</v>
      </c>
      <c r="F83" s="34">
        <f>G83</f>
        <v>7.5258749999999999E-2</v>
      </c>
      <c r="G83" s="172">
        <f>H83</f>
        <v>7.5258749999999999E-2</v>
      </c>
      <c r="H83" s="172">
        <f t="shared" ref="H83:Q83" si="11">($B$81*$B$79)+(($B$80*$B$78)*(1-H82))</f>
        <v>7.5258749999999999E-2</v>
      </c>
      <c r="I83" s="172">
        <f t="shared" si="11"/>
        <v>7.5258749999999999E-2</v>
      </c>
      <c r="J83" s="172">
        <f t="shared" si="11"/>
        <v>7.5258749999999999E-2</v>
      </c>
      <c r="K83" s="172">
        <f t="shared" si="11"/>
        <v>7.5258749999999999E-2</v>
      </c>
      <c r="L83" s="172">
        <f t="shared" si="11"/>
        <v>7.5258749999999999E-2</v>
      </c>
      <c r="M83" s="172">
        <f t="shared" si="11"/>
        <v>7.5258749999999999E-2</v>
      </c>
      <c r="N83" s="172">
        <f t="shared" si="11"/>
        <v>7.5258749999999999E-2</v>
      </c>
      <c r="O83" s="172">
        <f t="shared" si="11"/>
        <v>7.5258749999999999E-2</v>
      </c>
      <c r="P83" s="172">
        <f t="shared" si="11"/>
        <v>7.5258749999999999E-2</v>
      </c>
      <c r="Q83" s="172">
        <f t="shared" si="11"/>
        <v>7.5258749999999999E-2</v>
      </c>
    </row>
    <row r="84" spans="1:18" s="22" customFormat="1" ht="14.25" customHeight="1" x14ac:dyDescent="0.25">
      <c r="A84" s="159" t="s">
        <v>106</v>
      </c>
      <c r="B84" s="35"/>
      <c r="C84" s="21"/>
      <c r="D84" s="155"/>
      <c r="E84" s="155"/>
      <c r="F84" s="155"/>
      <c r="G84" s="172"/>
      <c r="H84" s="111">
        <v>4.4499999999999998E-2</v>
      </c>
      <c r="I84" s="111">
        <v>4.4499999999999998E-2</v>
      </c>
      <c r="J84" s="111">
        <v>4.4499999999999998E-2</v>
      </c>
      <c r="K84" s="111">
        <v>4.4499999999999998E-2</v>
      </c>
      <c r="L84" s="111">
        <v>4.4499999999999998E-2</v>
      </c>
      <c r="M84" s="111">
        <v>4.4499999999999998E-2</v>
      </c>
      <c r="N84" s="111">
        <v>4.4499999999999998E-2</v>
      </c>
      <c r="O84" s="111">
        <v>4.4499999999999998E-2</v>
      </c>
      <c r="P84" s="111">
        <v>4.4499999999999998E-2</v>
      </c>
      <c r="Q84" s="111">
        <v>4.4499999999999998E-2</v>
      </c>
      <c r="R84" s="125"/>
    </row>
    <row r="85" spans="1:18" s="22" customFormat="1" ht="14.25" customHeight="1" x14ac:dyDescent="0.25">
      <c r="B85" s="35"/>
      <c r="C85" s="21"/>
      <c r="D85" s="21"/>
      <c r="E85" s="21"/>
      <c r="F85" s="21"/>
      <c r="G85" s="173"/>
      <c r="H85" s="173"/>
      <c r="I85" s="173"/>
      <c r="J85" s="173"/>
      <c r="K85" s="173"/>
      <c r="L85" s="173"/>
      <c r="M85" s="173"/>
      <c r="N85" s="173"/>
      <c r="O85" s="173"/>
      <c r="P85" s="173"/>
      <c r="Q85" s="173"/>
      <c r="R85" s="125"/>
    </row>
    <row r="86" spans="1:18" s="22" customFormat="1" ht="14.25" customHeight="1" x14ac:dyDescent="0.25">
      <c r="B86" s="141"/>
      <c r="H86" s="125"/>
      <c r="I86" s="125"/>
      <c r="J86" s="125"/>
      <c r="K86" s="125"/>
      <c r="L86" s="125"/>
      <c r="M86" s="125"/>
      <c r="N86" s="125"/>
      <c r="O86" s="125"/>
      <c r="P86" s="125"/>
      <c r="Q86" s="125"/>
    </row>
    <row r="87" spans="1:18" s="22" customFormat="1" ht="14.25" customHeight="1" x14ac:dyDescent="0.25">
      <c r="A87" s="299" t="s">
        <v>168</v>
      </c>
      <c r="B87" s="35"/>
      <c r="C87" s="125"/>
      <c r="D87" s="125"/>
      <c r="E87" s="125"/>
      <c r="F87" s="125"/>
      <c r="G87" s="125"/>
      <c r="H87" s="174">
        <f ca="1">IFERROR(H126,"")</f>
        <v>1628296.674048</v>
      </c>
      <c r="I87" s="174">
        <f t="shared" ref="I87:Q87" ca="1" si="12">IFERROR(I126,"")</f>
        <v>1415192.5498357499</v>
      </c>
      <c r="J87" s="174">
        <f t="shared" ca="1" si="12"/>
        <v>1161709.7520931177</v>
      </c>
      <c r="K87" s="174">
        <f t="shared" ca="1" si="12"/>
        <v>911321.72279246384</v>
      </c>
      <c r="L87" s="174">
        <f t="shared" ca="1" si="12"/>
        <v>624352.78821620438</v>
      </c>
      <c r="M87" s="174">
        <f t="shared" ca="1" si="12"/>
        <v>590824.9084023172</v>
      </c>
      <c r="N87" s="174">
        <f t="shared" ca="1" si="12"/>
        <v>291794.98723800015</v>
      </c>
      <c r="O87" s="174">
        <f t="shared" ca="1" si="12"/>
        <v>-5688.2503405902535</v>
      </c>
      <c r="P87" s="174">
        <f t="shared" ca="1" si="12"/>
        <v>-336724.91334822588</v>
      </c>
      <c r="Q87" s="174">
        <f t="shared" ca="1" si="12"/>
        <v>-597296.75874839723</v>
      </c>
    </row>
    <row r="88" spans="1:18" s="22" customFormat="1" ht="14.25" customHeight="1" x14ac:dyDescent="0.25">
      <c r="A88" s="300"/>
      <c r="B88" s="35"/>
      <c r="C88" s="125"/>
      <c r="D88" s="125"/>
      <c r="E88" s="125"/>
      <c r="F88" s="125"/>
      <c r="G88" s="125"/>
      <c r="H88" s="126"/>
      <c r="I88" s="125"/>
      <c r="J88" s="125"/>
      <c r="K88" s="125"/>
      <c r="L88" s="125"/>
      <c r="M88" s="125"/>
      <c r="N88" s="125"/>
      <c r="O88" s="125"/>
      <c r="P88" s="125"/>
      <c r="Q88" s="125"/>
    </row>
    <row r="89" spans="1:18" s="22" customFormat="1" ht="14.25" customHeight="1" x14ac:dyDescent="0.25">
      <c r="B89" s="35"/>
    </row>
    <row r="90" spans="1:18" s="12" customFormat="1" ht="14.25" customHeight="1" x14ac:dyDescent="0.25">
      <c r="B90" s="32"/>
      <c r="C90" s="175"/>
      <c r="D90" s="175"/>
      <c r="E90" s="175"/>
      <c r="F90" s="175"/>
      <c r="G90" s="175"/>
      <c r="H90" s="176"/>
      <c r="I90" s="175"/>
      <c r="J90" s="175"/>
      <c r="K90" s="175"/>
      <c r="L90" s="175"/>
      <c r="M90" s="175"/>
      <c r="N90" s="175"/>
      <c r="O90" s="175"/>
      <c r="P90" s="175"/>
      <c r="Q90" s="175"/>
    </row>
    <row r="91" spans="1:18" s="12" customFormat="1" ht="14.25" customHeight="1" x14ac:dyDescent="0.25">
      <c r="B91" s="32"/>
      <c r="C91" s="175"/>
      <c r="D91" s="175"/>
      <c r="E91" s="175"/>
      <c r="F91" s="175"/>
      <c r="G91" s="175"/>
      <c r="H91" s="176"/>
      <c r="I91" s="175"/>
      <c r="J91" s="175"/>
      <c r="K91" s="175"/>
      <c r="L91" s="175"/>
      <c r="M91" s="175"/>
      <c r="N91" s="175"/>
      <c r="O91" s="175"/>
      <c r="P91" s="175"/>
      <c r="Q91" s="175"/>
    </row>
    <row r="92" spans="1:18" s="32" customFormat="1" ht="14.25" customHeight="1" x14ac:dyDescent="0.25">
      <c r="A92" s="177"/>
      <c r="C92" s="12"/>
      <c r="D92" s="12"/>
      <c r="E92" s="12"/>
      <c r="F92" s="12"/>
      <c r="G92" s="175"/>
      <c r="H92" s="178"/>
      <c r="I92" s="178"/>
      <c r="J92" s="178"/>
      <c r="K92" s="178"/>
      <c r="L92" s="178"/>
      <c r="M92" s="178"/>
      <c r="N92" s="178"/>
      <c r="O92" s="178"/>
      <c r="P92" s="178"/>
      <c r="Q92" s="178"/>
    </row>
    <row r="93" spans="1:18" s="15" customFormat="1" ht="14.25" customHeight="1" x14ac:dyDescent="0.25">
      <c r="A93" s="13" t="s">
        <v>169</v>
      </c>
      <c r="B93" s="13"/>
      <c r="C93" s="13"/>
      <c r="D93" s="13"/>
      <c r="E93" s="13"/>
      <c r="F93" s="13"/>
      <c r="G93" s="13"/>
      <c r="H93" s="13"/>
      <c r="I93" s="13"/>
      <c r="J93" s="13"/>
    </row>
    <row r="94" spans="1:18" s="22" customFormat="1" ht="14.25" customHeight="1" x14ac:dyDescent="0.25">
      <c r="A94" s="290" t="s">
        <v>117</v>
      </c>
      <c r="B94" s="291"/>
      <c r="C94" s="291"/>
      <c r="D94" s="291"/>
      <c r="E94" s="291"/>
      <c r="F94" s="291"/>
      <c r="G94" s="291"/>
      <c r="H94" s="291"/>
      <c r="I94" s="291"/>
      <c r="J94" s="291"/>
      <c r="K94" s="291"/>
      <c r="L94" s="291"/>
      <c r="M94" s="291"/>
      <c r="N94" s="294"/>
      <c r="O94" s="294"/>
      <c r="P94" s="294"/>
      <c r="Q94" s="294"/>
    </row>
    <row r="95" spans="1:18" s="112" customFormat="1" ht="14.25" customHeight="1" x14ac:dyDescent="0.25">
      <c r="A95" s="22"/>
      <c r="B95" s="35"/>
      <c r="C95" s="22"/>
      <c r="D95" s="22"/>
      <c r="E95" s="22"/>
      <c r="F95" s="22"/>
      <c r="G95" s="22"/>
      <c r="H95" s="22"/>
      <c r="I95" s="22"/>
      <c r="J95" s="22"/>
      <c r="K95" s="22"/>
      <c r="L95" s="22"/>
      <c r="M95" s="22"/>
      <c r="N95" s="22"/>
      <c r="O95" s="22"/>
      <c r="P95" s="22"/>
      <c r="Q95" s="22"/>
    </row>
    <row r="96" spans="1:18" s="112" customFormat="1" ht="14.25" customHeight="1" x14ac:dyDescent="0.25">
      <c r="A96" s="179" t="s">
        <v>170</v>
      </c>
      <c r="B96" s="179"/>
      <c r="C96" s="180"/>
      <c r="D96" s="180">
        <v>-4</v>
      </c>
      <c r="E96" s="180">
        <v>-3</v>
      </c>
      <c r="F96" s="180">
        <v>-2</v>
      </c>
      <c r="G96" s="180">
        <v>-1</v>
      </c>
      <c r="H96" s="180">
        <v>1</v>
      </c>
      <c r="I96" s="180">
        <v>2</v>
      </c>
      <c r="J96" s="180">
        <v>3</v>
      </c>
      <c r="K96" s="180">
        <v>4</v>
      </c>
      <c r="L96" s="180">
        <v>5</v>
      </c>
      <c r="M96" s="180">
        <v>6</v>
      </c>
      <c r="N96" s="180">
        <v>7</v>
      </c>
      <c r="O96" s="180">
        <v>8</v>
      </c>
      <c r="P96" s="180">
        <v>9</v>
      </c>
      <c r="Q96" s="180">
        <v>10</v>
      </c>
    </row>
    <row r="97" spans="1:17" s="153" customFormat="1" ht="14.25" customHeight="1" x14ac:dyDescent="0.25">
      <c r="A97" s="181" t="s">
        <v>171</v>
      </c>
      <c r="B97" s="155"/>
      <c r="C97" s="182"/>
      <c r="D97" s="182"/>
      <c r="E97" s="182"/>
      <c r="F97" s="182"/>
      <c r="G97" s="182"/>
      <c r="H97" s="182">
        <f t="shared" ref="H97:Q97" si="13">POWER(1+$B$77,H96-$H$96)</f>
        <v>1</v>
      </c>
      <c r="I97" s="182">
        <f t="shared" si="13"/>
        <v>1.02</v>
      </c>
      <c r="J97" s="182">
        <f t="shared" si="13"/>
        <v>1.0404</v>
      </c>
      <c r="K97" s="182">
        <f t="shared" si="13"/>
        <v>1.0612079999999999</v>
      </c>
      <c r="L97" s="182">
        <f t="shared" si="13"/>
        <v>1.08243216</v>
      </c>
      <c r="M97" s="182">
        <f t="shared" si="13"/>
        <v>1.1040808032</v>
      </c>
      <c r="N97" s="182">
        <f t="shared" si="13"/>
        <v>1.1261624192640001</v>
      </c>
      <c r="O97" s="182">
        <f t="shared" si="13"/>
        <v>1.1486856676492798</v>
      </c>
      <c r="P97" s="182">
        <f t="shared" si="13"/>
        <v>1.1716593810022655</v>
      </c>
      <c r="Q97" s="182">
        <f t="shared" si="13"/>
        <v>1.1950925686223108</v>
      </c>
    </row>
    <row r="98" spans="1:17" s="183" customFormat="1" ht="14.25" customHeight="1" x14ac:dyDescent="0.25">
      <c r="B98" s="184"/>
      <c r="C98" s="185"/>
      <c r="D98" s="185"/>
      <c r="E98" s="185"/>
      <c r="F98" s="185"/>
      <c r="G98" s="185"/>
      <c r="H98" s="186"/>
      <c r="I98" s="185"/>
      <c r="J98" s="185"/>
      <c r="K98" s="185"/>
      <c r="L98" s="185"/>
      <c r="M98" s="185"/>
      <c r="N98" s="185"/>
      <c r="O98" s="185"/>
      <c r="P98" s="185"/>
      <c r="Q98" s="185"/>
    </row>
    <row r="99" spans="1:17" s="21" customFormat="1" ht="14.25" customHeight="1" x14ac:dyDescent="0.25">
      <c r="A99" s="181" t="s">
        <v>172</v>
      </c>
      <c r="B99" s="155"/>
      <c r="C99" s="132" t="s">
        <v>159</v>
      </c>
      <c r="D99" s="155"/>
      <c r="E99" s="155"/>
      <c r="F99" s="155"/>
      <c r="G99" s="155"/>
      <c r="H99" s="155"/>
      <c r="I99" s="155"/>
      <c r="J99" s="155"/>
      <c r="K99" s="155"/>
      <c r="L99" s="155"/>
      <c r="M99" s="155"/>
      <c r="N99" s="155"/>
      <c r="O99" s="155"/>
      <c r="P99" s="155"/>
      <c r="Q99" s="155"/>
    </row>
    <row r="100" spans="1:17" s="183" customFormat="1" ht="14.25" customHeight="1" x14ac:dyDescent="0.25">
      <c r="A100" s="187" t="s">
        <v>173</v>
      </c>
      <c r="B100" s="187"/>
      <c r="C100" s="187"/>
      <c r="D100" s="187"/>
      <c r="E100" s="187"/>
      <c r="F100" s="187"/>
      <c r="G100" s="187"/>
      <c r="H100" s="187"/>
      <c r="I100" s="187"/>
      <c r="J100" s="187"/>
      <c r="K100" s="187"/>
      <c r="L100" s="187"/>
      <c r="M100" s="187"/>
      <c r="N100" s="187"/>
      <c r="O100" s="187"/>
      <c r="P100" s="187"/>
      <c r="Q100" s="187"/>
    </row>
    <row r="101" spans="1:17" s="183" customFormat="1" ht="14.25" customHeight="1" x14ac:dyDescent="0.35">
      <c r="A101" s="183" t="s">
        <v>174</v>
      </c>
      <c r="B101" s="188"/>
      <c r="C101" s="183" t="s">
        <v>175</v>
      </c>
      <c r="H101" s="189">
        <f>H53*35.17/31.65/'Algemene parameters'!$B$14</f>
        <v>3.8209340025744574E-2</v>
      </c>
      <c r="I101" s="189">
        <f>I53*35.17/31.65/'Algemene parameters'!$B$14</f>
        <v>3.8234835016502329E-2</v>
      </c>
      <c r="J101" s="189">
        <f>J53*35.17/31.65/'Algemene parameters'!$B$14</f>
        <v>3.8260839907075253E-2</v>
      </c>
      <c r="K101" s="189">
        <f>K53*35.17/31.65/'Algemene parameters'!$B$14</f>
        <v>3.8287364895459634E-2</v>
      </c>
      <c r="L101" s="189">
        <f>L53*35.17/31.65/'Algemene parameters'!$B$14</f>
        <v>3.875051554840804E-2</v>
      </c>
      <c r="M101" s="189">
        <f>M53*35.17/31.65/'Algemene parameters'!$B$14</f>
        <v>3.9062552992586222E-2</v>
      </c>
      <c r="N101" s="189">
        <f>N53*35.17/31.65/'Algemene parameters'!$B$14</f>
        <v>3.9528982503020817E-2</v>
      </c>
      <c r="O101" s="189">
        <f>O53*35.17/31.65/'Algemene parameters'!$B$14</f>
        <v>3.9837885182472971E-2</v>
      </c>
      <c r="P101" s="189">
        <f>P53*35.17/31.65/'Algemene parameters'!$B$14</f>
        <v>4.0634642886122334E-2</v>
      </c>
      <c r="Q101" s="189">
        <f>Q53*35.17/31.65/'Algemene parameters'!$B$14</f>
        <v>4.1447335743844842E-2</v>
      </c>
    </row>
    <row r="102" spans="1:17" s="183" customFormat="1" ht="14.25" customHeight="1" x14ac:dyDescent="0.25">
      <c r="A102" s="187" t="s">
        <v>176</v>
      </c>
      <c r="B102" s="187"/>
      <c r="C102" s="187"/>
      <c r="D102" s="187"/>
      <c r="E102" s="187"/>
      <c r="F102" s="187"/>
      <c r="G102" s="187"/>
      <c r="H102" s="190"/>
      <c r="I102" s="190"/>
      <c r="J102" s="190"/>
      <c r="K102" s="190"/>
      <c r="L102" s="190"/>
      <c r="M102" s="190"/>
      <c r="N102" s="190"/>
      <c r="O102" s="190"/>
      <c r="P102" s="190"/>
      <c r="Q102" s="190"/>
    </row>
    <row r="103" spans="1:17" s="183" customFormat="1" ht="14.25" customHeight="1" x14ac:dyDescent="0.35">
      <c r="A103" s="183" t="s">
        <v>177</v>
      </c>
      <c r="B103" s="191"/>
      <c r="C103" s="183" t="s">
        <v>175</v>
      </c>
      <c r="H103" s="192" cm="1">
        <f t="array" ref="H103">_xlfn.IFS(H56="ETS1",(MIN(H57,'Algemene parameters'!$B$10)/1000*'Algemene parameters'!$B$12*0.0036/'Algemene parameters'!$B$14),H56="ETS2",(MIN(H58,'Algemene parameters'!$B$11)/1000*'Algemene parameters'!$B$12*0.0036/'Algemene parameters'!$B$14),TRUE,0)</f>
        <v>1.9677E-2</v>
      </c>
      <c r="I103" s="192" cm="1">
        <f t="array" ref="I103">_xlfn.IFS(I56="ETS1",(MIN(I57,'Algemene parameters'!$B$10)/1000*'Algemene parameters'!$B$12*0.0036/'Algemene parameters'!$B$14),I56="ETS2",(MIN(I58,'Algemene parameters'!$B$11)/1000*'Algemene parameters'!$B$12*0.0036/'Algemene parameters'!$B$14),TRUE,0)</f>
        <v>2.1026279999999998E-2</v>
      </c>
      <c r="J103" s="192" cm="1">
        <f t="array" ref="J103">_xlfn.IFS(J56="ETS1",(MIN(J57,'Algemene parameters'!$B$10)/1000*'Algemene parameters'!$B$12*0.0036/'Algemene parameters'!$B$14),J56="ETS2",(MIN(J58,'Algemene parameters'!$B$11)/1000*'Algemene parameters'!$B$12*0.0036/'Algemene parameters'!$B$14),TRUE,0)</f>
        <v>2.2375559999999999E-2</v>
      </c>
      <c r="K103" s="192" cm="1">
        <f t="array" ref="K103">_xlfn.IFS(K56="ETS1",(MIN(K57,'Algemene parameters'!$B$10)/1000*'Algemene parameters'!$B$12*0.0036/'Algemene parameters'!$B$14),K56="ETS2",(MIN(K58,'Algemene parameters'!$B$11)/1000*'Algemene parameters'!$B$12*0.0036/'Algemene parameters'!$B$14),TRUE,0)</f>
        <v>2.3724839999999997E-2</v>
      </c>
      <c r="L103" s="192" cm="1">
        <f t="array" ref="L103">_xlfn.IFS(L56="ETS1",(MIN(L57,'Algemene parameters'!$B$10)/1000*'Algemene parameters'!$B$12*0.0036/'Algemene parameters'!$B$14),L56="ETS2",(MIN(L58,'Algemene parameters'!$B$11)/1000*'Algemene parameters'!$B$12*0.0036/'Algemene parameters'!$B$14),TRUE,0)</f>
        <v>2.5074120000000002E-2</v>
      </c>
      <c r="M103" s="192" cm="1">
        <f t="array" ref="M103">_xlfn.IFS(M56="ETS1",(MIN(M57,'Algemene parameters'!$B$10)/1000*'Algemene parameters'!$B$12*0.0036/'Algemene parameters'!$B$14),M56="ETS2",(MIN(M58,'Algemene parameters'!$B$11)/1000*'Algemene parameters'!$B$12*0.0036/'Algemene parameters'!$B$14),TRUE,0)</f>
        <v>2.6423399999999996E-2</v>
      </c>
      <c r="N103" s="192" cm="1">
        <f t="array" ref="N103">_xlfn.IFS(N56="ETS1",(MIN(N57,'Algemene parameters'!$B$10)/1000*'Algemene parameters'!$B$12*0.0036/'Algemene parameters'!$B$14),N56="ETS2",(MIN(N58,'Algemene parameters'!$B$11)/1000*'Algemene parameters'!$B$12*0.0036/'Algemene parameters'!$B$14),TRUE,0)</f>
        <v>2.7772679999999998E-2</v>
      </c>
      <c r="O103" s="192" cm="1">
        <f t="array" ref="O103">_xlfn.IFS(O56="ETS1",(MIN(O57,'Algemene parameters'!$B$10)/1000*'Algemene parameters'!$B$12*0.0036/'Algemene parameters'!$B$14),O56="ETS2",(MIN(O58,'Algemene parameters'!$B$11)/1000*'Algemene parameters'!$B$12*0.0036/'Algemene parameters'!$B$14),TRUE,0)</f>
        <v>2.9121959999999999E-2</v>
      </c>
      <c r="P103" s="192" cm="1">
        <f t="array" ref="P103">_xlfn.IFS(P56="ETS1",(MIN(P57,'Algemene parameters'!$B$10)/1000*'Algemene parameters'!$B$12*0.0036/'Algemene parameters'!$B$14),P56="ETS2",(MIN(P58,'Algemene parameters'!$B$11)/1000*'Algemene parameters'!$B$12*0.0036/'Algemene parameters'!$B$14),TRUE,0)</f>
        <v>3.0358799999999998E-2</v>
      </c>
      <c r="Q103" s="192" cm="1">
        <f t="array" ref="Q103">_xlfn.IFS(Q56="ETS1",(MIN(Q57,'Algemene parameters'!$B$10)/1000*'Algemene parameters'!$B$12*0.0036/'Algemene parameters'!$B$14),Q56="ETS2",(MIN(Q58,'Algemene parameters'!$B$11)/1000*'Algemene parameters'!$B$12*0.0036/'Algemene parameters'!$B$14),TRUE,0)</f>
        <v>3.0358799999999998E-2</v>
      </c>
    </row>
    <row r="104" spans="1:17" s="183" customFormat="1" ht="14.25" customHeight="1" x14ac:dyDescent="0.35">
      <c r="A104" s="183" t="s">
        <v>178</v>
      </c>
      <c r="B104" s="191"/>
      <c r="C104" s="183" t="s">
        <v>175</v>
      </c>
      <c r="H104" s="192">
        <f t="shared" ref="H104:Q104" si="14">H103*(1-H59)</f>
        <v>1.9677E-2</v>
      </c>
      <c r="I104" s="192">
        <f t="shared" si="14"/>
        <v>2.1026279999999998E-2</v>
      </c>
      <c r="J104" s="192">
        <f t="shared" si="14"/>
        <v>2.2375559999999999E-2</v>
      </c>
      <c r="K104" s="192">
        <f t="shared" si="14"/>
        <v>2.3724839999999997E-2</v>
      </c>
      <c r="L104" s="192">
        <f t="shared" si="14"/>
        <v>2.5074120000000002E-2</v>
      </c>
      <c r="M104" s="192">
        <f t="shared" si="14"/>
        <v>2.6423399999999996E-2</v>
      </c>
      <c r="N104" s="192">
        <f t="shared" si="14"/>
        <v>2.7772679999999998E-2</v>
      </c>
      <c r="O104" s="192">
        <f t="shared" si="14"/>
        <v>2.9121959999999999E-2</v>
      </c>
      <c r="P104" s="192">
        <f t="shared" si="14"/>
        <v>3.0358799999999998E-2</v>
      </c>
      <c r="Q104" s="192">
        <f t="shared" si="14"/>
        <v>3.0358799999999998E-2</v>
      </c>
    </row>
    <row r="105" spans="1:17" s="183" customFormat="1" ht="14.25" customHeight="1" x14ac:dyDescent="0.25">
      <c r="A105" s="187" t="s">
        <v>179</v>
      </c>
      <c r="B105" s="187"/>
      <c r="C105" s="187"/>
      <c r="D105" s="187"/>
      <c r="E105" s="187"/>
      <c r="F105" s="187"/>
      <c r="G105" s="187"/>
      <c r="H105" s="190"/>
      <c r="I105" s="190"/>
      <c r="J105" s="190"/>
      <c r="K105" s="190"/>
      <c r="L105" s="190"/>
      <c r="M105" s="190"/>
      <c r="N105" s="190"/>
      <c r="O105" s="190"/>
      <c r="P105" s="190"/>
      <c r="Q105" s="190"/>
    </row>
    <row r="106" spans="1:17" s="183" customFormat="1" ht="14.25" customHeight="1" x14ac:dyDescent="0.35">
      <c r="A106" s="193" t="s">
        <v>180</v>
      </c>
      <c r="B106" s="184"/>
      <c r="C106" s="183" t="s">
        <v>81</v>
      </c>
      <c r="H106" s="192">
        <f ca="1">IFERROR($B$39*(VLOOKUP($B$6,'Technologie parameters'!$A9:$S15,14,FALSE)-ABS(H38))/H31,"")</f>
        <v>1.1763209770690899E-3</v>
      </c>
      <c r="I106" s="192">
        <f ca="1">IFERROR($B$39*(VLOOKUP($B$6,'Technologie parameters'!$A9:$S15,14,FALSE)-ABS(I38))/I31,"")</f>
        <v>9.2860170434181689E-4</v>
      </c>
      <c r="J106" s="192">
        <f ca="1">IFERROR($B$39*(VLOOKUP($B$6,'Technologie parameters'!$A9:$S15,14,FALSE)-ABS(J38))/J31,"")</f>
        <v>6.7592804615999825E-4</v>
      </c>
      <c r="K106" s="192">
        <f ca="1">IFERROR($B$39*(VLOOKUP($B$6,'Technologie parameters'!$A9:$S15,14,FALSE)-ABS(K38))/K31,"")</f>
        <v>4.1820091481454375E-4</v>
      </c>
      <c r="L106" s="192">
        <f ca="1">IFERROR($B$39*(VLOOKUP($B$6,'Technologie parameters'!$A9:$S15,14,FALSE)-ABS(L38))/L31,"")</f>
        <v>1.5531924084217894E-4</v>
      </c>
      <c r="M106" s="192">
        <f ca="1">IFERROR($B$39*(VLOOKUP($B$6,'Technologie parameters'!$A9:$S15,14,FALSE)-ABS(M38))/M31,"")</f>
        <v>-1.128200666096323E-4</v>
      </c>
      <c r="N106" s="192">
        <f ca="1">IFERROR($B$39*(VLOOKUP($B$6,'Technologie parameters'!$A9:$S15,14,FALSE)-ABS(N38))/N31,"")</f>
        <v>-3.8632216021048039E-4</v>
      </c>
      <c r="O106" s="192">
        <f ca="1">IFERROR($B$39*(VLOOKUP($B$6,'Technologie parameters'!$A9:$S15,14,FALSE)-ABS(O38))/O31,"")</f>
        <v>-6.6529429568334562E-4</v>
      </c>
      <c r="P106" s="192">
        <f ca="1">IFERROR($B$39*(VLOOKUP($B$6,'Technologie parameters'!$A9:$S15,14,FALSE)-ABS(P38))/P31,"")</f>
        <v>-9.498458738656676E-4</v>
      </c>
      <c r="Q106" s="192">
        <f ca="1">IFERROR($B$39*(VLOOKUP($B$6,'Technologie parameters'!$A9:$S15,14,FALSE)-ABS(Q38))/Q31,"")</f>
        <v>-1.240088483611635E-3</v>
      </c>
    </row>
    <row r="107" spans="1:17" s="183" customFormat="1" ht="14.25" customHeight="1" x14ac:dyDescent="0.35">
      <c r="A107" s="193" t="s">
        <v>181</v>
      </c>
      <c r="B107" s="184"/>
      <c r="C107" s="183" t="s">
        <v>81</v>
      </c>
      <c r="H107" s="192">
        <f>IFERROR($B$48-H46,"")</f>
        <v>-1.12272990230474E-2</v>
      </c>
      <c r="I107" s="192">
        <f t="shared" ref="I107:Q107" si="15">IFERROR($B$48-I46,"")</f>
        <v>-8.7805572393356915E-3</v>
      </c>
      <c r="J107" s="192">
        <f t="shared" si="15"/>
        <v>-6.2143668646663028E-3</v>
      </c>
      <c r="K107" s="192">
        <f t="shared" si="15"/>
        <v>-3.5249286521144979E-3</v>
      </c>
      <c r="L107" s="192">
        <f t="shared" si="15"/>
        <v>-7.0833916431470301E-4</v>
      </c>
      <c r="M107" s="192">
        <f t="shared" si="15"/>
        <v>-1.5769059476010011E-3</v>
      </c>
      <c r="N107" s="192">
        <f t="shared" si="15"/>
        <v>1.4298001119471201E-3</v>
      </c>
      <c r="O107" s="192">
        <f t="shared" si="15"/>
        <v>4.5744931762561544E-3</v>
      </c>
      <c r="P107" s="192">
        <f t="shared" si="15"/>
        <v>7.8614900430928059E-3</v>
      </c>
      <c r="Q107" s="192">
        <f t="shared" si="15"/>
        <v>1.1295224987332458E-2</v>
      </c>
    </row>
    <row r="108" spans="1:17" s="183" customFormat="1" ht="14.25" customHeight="1" x14ac:dyDescent="0.35">
      <c r="A108" s="193" t="s">
        <v>182</v>
      </c>
      <c r="B108" s="184"/>
      <c r="C108" s="183" t="s">
        <v>81</v>
      </c>
      <c r="H108" s="192">
        <f ca="1">IFERROR(H106+H107,"")</f>
        <v>-1.005097804597831E-2</v>
      </c>
      <c r="I108" s="192">
        <f t="shared" ref="I108:Q108" ca="1" si="16">IFERROR(I106+I107,"")</f>
        <v>-7.8519555349938746E-3</v>
      </c>
      <c r="J108" s="192">
        <f t="shared" ca="1" si="16"/>
        <v>-5.5384388185063041E-3</v>
      </c>
      <c r="K108" s="192">
        <f t="shared" ca="1" si="16"/>
        <v>-3.1067277372999543E-3</v>
      </c>
      <c r="L108" s="192">
        <f t="shared" ca="1" si="16"/>
        <v>-5.5301992347252401E-4</v>
      </c>
      <c r="M108" s="192">
        <f t="shared" ca="1" si="16"/>
        <v>-1.6897260142106334E-3</v>
      </c>
      <c r="N108" s="192">
        <f t="shared" ca="1" si="16"/>
        <v>1.0434779517366397E-3</v>
      </c>
      <c r="O108" s="192">
        <f t="shared" ca="1" si="16"/>
        <v>3.9091988805728091E-3</v>
      </c>
      <c r="P108" s="192">
        <f t="shared" ca="1" si="16"/>
        <v>6.9116441692271382E-3</v>
      </c>
      <c r="Q108" s="192">
        <f t="shared" ca="1" si="16"/>
        <v>1.0055136503720823E-2</v>
      </c>
    </row>
    <row r="109" spans="1:17" s="183" customFormat="1" ht="13.9" customHeight="1" x14ac:dyDescent="0.35">
      <c r="A109" s="193" t="s">
        <v>183</v>
      </c>
      <c r="B109" s="184"/>
      <c r="C109" s="183" t="s">
        <v>175</v>
      </c>
      <c r="H109" s="192">
        <f ca="1">IFERROR(IF($B$7=1,H108/$B$23,H108/H24),"")</f>
        <v>-1.0152503076745768E-2</v>
      </c>
      <c r="I109" s="192">
        <f t="shared" ref="I109:Q109" ca="1" si="17">IFERROR(IF($B$7=1,I108/$B$23,I108/I24),"")</f>
        <v>-7.9312682171655303E-3</v>
      </c>
      <c r="J109" s="192">
        <f t="shared" ca="1" si="17"/>
        <v>-5.5943826449558632E-3</v>
      </c>
      <c r="K109" s="192">
        <f t="shared" ca="1" si="17"/>
        <v>-3.1381088255555095E-3</v>
      </c>
      <c r="L109" s="192">
        <f t="shared" ca="1" si="17"/>
        <v>-5.5860598330557986E-4</v>
      </c>
      <c r="M109" s="192">
        <f t="shared" ca="1" si="17"/>
        <v>-1.7067939537481146E-3</v>
      </c>
      <c r="N109" s="192">
        <f t="shared" ca="1" si="17"/>
        <v>1.0540181330673129E-3</v>
      </c>
      <c r="O109" s="192">
        <f t="shared" ca="1" si="17"/>
        <v>3.9486857379523324E-3</v>
      </c>
      <c r="P109" s="192">
        <f t="shared" ca="1" si="17"/>
        <v>6.9814587567950887E-3</v>
      </c>
      <c r="Q109" s="192">
        <f t="shared" ca="1" si="17"/>
        <v>1.0156703539111942E-2</v>
      </c>
    </row>
    <row r="110" spans="1:17" s="183" customFormat="1" ht="13.9" customHeight="1" x14ac:dyDescent="0.25">
      <c r="A110" s="187" t="s">
        <v>184</v>
      </c>
      <c r="B110" s="187"/>
      <c r="C110" s="187"/>
      <c r="D110" s="187"/>
      <c r="E110" s="187"/>
      <c r="F110" s="187"/>
      <c r="G110" s="187"/>
      <c r="H110" s="190"/>
      <c r="I110" s="190"/>
      <c r="J110" s="190"/>
      <c r="K110" s="190"/>
      <c r="L110" s="190"/>
      <c r="M110" s="190"/>
      <c r="N110" s="190"/>
      <c r="O110" s="190"/>
      <c r="P110" s="190"/>
      <c r="Q110" s="190"/>
    </row>
    <row r="111" spans="1:17" s="183" customFormat="1" ht="14.25" customHeight="1" x14ac:dyDescent="0.35">
      <c r="A111" s="193" t="s">
        <v>185</v>
      </c>
      <c r="B111" s="184"/>
      <c r="C111" s="183" t="s">
        <v>175</v>
      </c>
      <c r="H111" s="192">
        <f>IFERROR(IF($B$7=1,H62/$B$23,H62/H24),"")</f>
        <v>0</v>
      </c>
      <c r="I111" s="192">
        <f t="shared" ref="I111:Q111" si="18">IFERROR(IF($B$7=1,I62/$B$23,I62/I24),"")</f>
        <v>0</v>
      </c>
      <c r="J111" s="192">
        <f t="shared" si="18"/>
        <v>0</v>
      </c>
      <c r="K111" s="192">
        <f t="shared" si="18"/>
        <v>0</v>
      </c>
      <c r="L111" s="192">
        <f t="shared" si="18"/>
        <v>0</v>
      </c>
      <c r="M111" s="192">
        <f t="shared" si="18"/>
        <v>0</v>
      </c>
      <c r="N111" s="192">
        <f t="shared" si="18"/>
        <v>0</v>
      </c>
      <c r="O111" s="192">
        <f t="shared" si="18"/>
        <v>0</v>
      </c>
      <c r="P111" s="192">
        <f t="shared" si="18"/>
        <v>0</v>
      </c>
      <c r="Q111" s="192">
        <f t="shared" si="18"/>
        <v>0</v>
      </c>
    </row>
    <row r="112" spans="1:17" s="183" customFormat="1" ht="14.25" customHeight="1" x14ac:dyDescent="0.25">
      <c r="A112" s="187" t="s">
        <v>186</v>
      </c>
      <c r="B112" s="187"/>
      <c r="C112" s="187"/>
      <c r="D112" s="187"/>
      <c r="E112" s="187"/>
      <c r="F112" s="187"/>
      <c r="G112" s="187"/>
      <c r="H112" s="190"/>
      <c r="I112" s="190"/>
      <c r="J112" s="190"/>
      <c r="K112" s="190"/>
      <c r="L112" s="190"/>
      <c r="M112" s="190"/>
      <c r="N112" s="190"/>
      <c r="O112" s="190"/>
      <c r="P112" s="190"/>
      <c r="Q112" s="190"/>
    </row>
    <row r="113" spans="1:20" s="183" customFormat="1" ht="14.25" customHeight="1" x14ac:dyDescent="0.35">
      <c r="A113" s="183" t="s">
        <v>187</v>
      </c>
      <c r="B113" s="189"/>
      <c r="C113" s="183" t="s">
        <v>175</v>
      </c>
      <c r="H113" s="192">
        <f ca="1">IFERROR(H101+H104+H109+H111,"")</f>
        <v>4.7733836948998805E-2</v>
      </c>
      <c r="I113" s="192">
        <f t="shared" ref="I113:Q113" ca="1" si="19">IFERROR(I101+I104+I109+I111,"")</f>
        <v>5.1329846799336803E-2</v>
      </c>
      <c r="J113" s="192">
        <f t="shared" ca="1" si="19"/>
        <v>5.5042017262119394E-2</v>
      </c>
      <c r="K113" s="192">
        <f t="shared" ca="1" si="19"/>
        <v>5.8874096069904125E-2</v>
      </c>
      <c r="L113" s="192">
        <f t="shared" ca="1" si="19"/>
        <v>6.3266029565102466E-2</v>
      </c>
      <c r="M113" s="192">
        <f t="shared" ca="1" si="19"/>
        <v>6.3779159038838101E-2</v>
      </c>
      <c r="N113" s="192">
        <f t="shared" ca="1" si="19"/>
        <v>6.8355680636088129E-2</v>
      </c>
      <c r="O113" s="192">
        <f t="shared" ca="1" si="19"/>
        <v>7.2908530920425305E-2</v>
      </c>
      <c r="P113" s="192">
        <f t="shared" ca="1" si="19"/>
        <v>7.7974901642917427E-2</v>
      </c>
      <c r="Q113" s="192">
        <f t="shared" ca="1" si="19"/>
        <v>8.1962839282956779E-2</v>
      </c>
    </row>
    <row r="114" spans="1:20" s="183" customFormat="1" ht="14.25" customHeight="1" x14ac:dyDescent="0.35">
      <c r="A114" s="183" t="s">
        <v>188</v>
      </c>
      <c r="B114" s="189"/>
      <c r="C114" s="183" t="s">
        <v>189</v>
      </c>
      <c r="H114" s="194">
        <f ca="1">IFERROR(H113/H71*1000,"")</f>
        <v>278.5837663089622</v>
      </c>
      <c r="I114" s="194">
        <f t="shared" ref="I114:Q114" ca="1" si="20">IFERROR(I113/I71*1000,"")</f>
        <v>299.57076487900486</v>
      </c>
      <c r="J114" s="194">
        <f t="shared" ca="1" si="20"/>
        <v>321.23569891327901</v>
      </c>
      <c r="K114" s="194">
        <f t="shared" ca="1" si="20"/>
        <v>343.60044089297895</v>
      </c>
      <c r="L114" s="194">
        <f t="shared" ca="1" si="20"/>
        <v>369.23260148752973</v>
      </c>
      <c r="M114" s="194">
        <f t="shared" ca="1" si="20"/>
        <v>372.22732285363622</v>
      </c>
      <c r="N114" s="194">
        <f t="shared" ca="1" si="20"/>
        <v>398.9367747780318</v>
      </c>
      <c r="O114" s="194">
        <f t="shared" ca="1" si="20"/>
        <v>425.50807641059583</v>
      </c>
      <c r="P114" s="194">
        <f t="shared" ca="1" si="20"/>
        <v>455.07638115210096</v>
      </c>
      <c r="Q114" s="194">
        <f t="shared" ca="1" si="20"/>
        <v>478.35074496983594</v>
      </c>
    </row>
    <row r="115" spans="1:20" s="183" customFormat="1" ht="14.25" customHeight="1" x14ac:dyDescent="0.25">
      <c r="A115" s="187" t="s">
        <v>190</v>
      </c>
      <c r="B115" s="187"/>
      <c r="C115" s="187"/>
      <c r="D115" s="187"/>
      <c r="E115" s="187"/>
      <c r="F115" s="187"/>
      <c r="G115" s="187"/>
      <c r="H115" s="190"/>
      <c r="I115" s="190"/>
      <c r="J115" s="190"/>
      <c r="K115" s="190"/>
      <c r="L115" s="190"/>
      <c r="M115" s="190"/>
      <c r="N115" s="190"/>
      <c r="O115" s="190"/>
      <c r="P115" s="190"/>
      <c r="Q115" s="190"/>
    </row>
    <row r="116" spans="1:20" s="183" customFormat="1" ht="14.25" customHeight="1" x14ac:dyDescent="0.35">
      <c r="A116" s="193" t="s">
        <v>191</v>
      </c>
      <c r="C116" s="183" t="s">
        <v>189</v>
      </c>
      <c r="H116" s="195">
        <v>0</v>
      </c>
      <c r="I116" s="195">
        <f ca="1">IFERROR(IF(H117&lt;H$66,-(H66-H117)*H31/I31,0),"")</f>
        <v>-0.97623369103780533</v>
      </c>
      <c r="J116" s="195">
        <f t="shared" ref="J116:Q116" ca="1" si="21">IFERROR(IF(I117&lt;I$66,-(I66-I117)*I31/J31,0),"")</f>
        <v>0</v>
      </c>
      <c r="K116" s="195">
        <f t="shared" ca="1" si="21"/>
        <v>0</v>
      </c>
      <c r="L116" s="195">
        <f t="shared" ca="1" si="21"/>
        <v>0</v>
      </c>
      <c r="M116" s="195">
        <f t="shared" ca="1" si="21"/>
        <v>0</v>
      </c>
      <c r="N116" s="195">
        <f t="shared" ca="1" si="21"/>
        <v>0</v>
      </c>
      <c r="O116" s="195">
        <f t="shared" ca="1" si="21"/>
        <v>0</v>
      </c>
      <c r="P116" s="195">
        <f t="shared" ca="1" si="21"/>
        <v>0</v>
      </c>
      <c r="Q116" s="195">
        <f t="shared" ca="1" si="21"/>
        <v>0</v>
      </c>
    </row>
    <row r="117" spans="1:20" s="12" customFormat="1" ht="14.25" customHeight="1" x14ac:dyDescent="0.25">
      <c r="A117" s="179" t="s">
        <v>192</v>
      </c>
      <c r="B117" s="179"/>
      <c r="C117" s="179" t="s">
        <v>193</v>
      </c>
      <c r="D117" s="179"/>
      <c r="E117" s="179"/>
      <c r="F117" s="179"/>
      <c r="G117" s="179"/>
      <c r="H117" s="196">
        <f ca="1">IFERROR(H114+H116,"")</f>
        <v>278.5837663089622</v>
      </c>
      <c r="I117" s="196">
        <f t="shared" ref="I117:Q117" ca="1" si="22">IFERROR(I114+I116,"")</f>
        <v>298.59453118796705</v>
      </c>
      <c r="J117" s="196">
        <f t="shared" ca="1" si="22"/>
        <v>321.23569891327901</v>
      </c>
      <c r="K117" s="196">
        <f t="shared" ca="1" si="22"/>
        <v>343.60044089297895</v>
      </c>
      <c r="L117" s="196">
        <f t="shared" ca="1" si="22"/>
        <v>369.23260148752973</v>
      </c>
      <c r="M117" s="196">
        <f t="shared" ca="1" si="22"/>
        <v>372.22732285363622</v>
      </c>
      <c r="N117" s="196">
        <f t="shared" ca="1" si="22"/>
        <v>398.9367747780318</v>
      </c>
      <c r="O117" s="196">
        <f t="shared" ca="1" si="22"/>
        <v>425.50807641059583</v>
      </c>
      <c r="P117" s="196">
        <f t="shared" ca="1" si="22"/>
        <v>455.07638115210096</v>
      </c>
      <c r="Q117" s="196">
        <f t="shared" ca="1" si="22"/>
        <v>478.35074496983594</v>
      </c>
    </row>
    <row r="118" spans="1:20" s="12" customFormat="1" ht="14.25" customHeight="1" x14ac:dyDescent="0.25">
      <c r="B118" s="197"/>
      <c r="C118" s="198"/>
      <c r="D118" s="198"/>
      <c r="E118" s="198"/>
      <c r="F118" s="198"/>
      <c r="G118" s="197"/>
      <c r="H118" s="197"/>
      <c r="I118" s="197"/>
      <c r="J118" s="197"/>
      <c r="K118" s="197"/>
      <c r="L118" s="197"/>
      <c r="M118" s="197"/>
      <c r="N118" s="197"/>
      <c r="O118" s="197"/>
      <c r="P118" s="197"/>
      <c r="Q118" s="197"/>
    </row>
    <row r="119" spans="1:20" s="12" customFormat="1" ht="14.25" customHeight="1" x14ac:dyDescent="0.25">
      <c r="B119" s="197"/>
      <c r="C119" s="198"/>
      <c r="D119" s="198"/>
      <c r="E119" s="198"/>
      <c r="F119" s="198"/>
      <c r="G119" s="197"/>
      <c r="H119" s="197"/>
      <c r="I119" s="197"/>
      <c r="J119" s="197"/>
      <c r="K119" s="197"/>
      <c r="L119" s="197"/>
      <c r="M119" s="197"/>
      <c r="N119" s="197"/>
      <c r="O119" s="197"/>
      <c r="P119" s="197"/>
      <c r="Q119" s="197"/>
    </row>
    <row r="120" spans="1:20" s="21" customFormat="1" ht="14.25" customHeight="1" x14ac:dyDescent="0.25">
      <c r="A120" s="181" t="s">
        <v>194</v>
      </c>
      <c r="B120" s="155"/>
      <c r="C120" s="132" t="s">
        <v>159</v>
      </c>
      <c r="D120" s="155"/>
      <c r="E120" s="155"/>
      <c r="F120" s="155"/>
      <c r="G120" s="155"/>
      <c r="H120" s="155"/>
      <c r="I120" s="155"/>
      <c r="J120" s="155"/>
      <c r="K120" s="155"/>
      <c r="L120" s="155"/>
      <c r="M120" s="155"/>
      <c r="N120" s="155"/>
      <c r="O120" s="155"/>
      <c r="P120" s="155"/>
      <c r="Q120" s="155"/>
    </row>
    <row r="121" spans="1:20" s="183" customFormat="1" ht="14.25" customHeight="1" x14ac:dyDescent="0.25">
      <c r="A121" s="187" t="s">
        <v>195</v>
      </c>
      <c r="B121" s="199"/>
      <c r="C121" s="199" t="s">
        <v>138</v>
      </c>
      <c r="D121" s="199"/>
      <c r="E121" s="199"/>
      <c r="F121" s="199"/>
      <c r="G121" s="200"/>
      <c r="H121" s="200">
        <f ca="1">IFERROR(IF(H117&lt;H$66,IF($B$7=1,H$66/1000*($B$22*$B$23*H31*H71),H$66/1000*($B$22*H24*H31*H71)),IF($B$7=1,H117/1000*($B$22*$B$23*H31*H71),H117/1000*($B$22*H24*H31*H71))),"")</f>
        <v>3129858.4859519992</v>
      </c>
      <c r="I121" s="200">
        <f t="shared" ref="I121:Q121" ca="1" si="23">IFERROR(IF(I117&lt;I$66,IF($B$7=1,I$66/1000*($B$22*$B$23*I31*I71),I$66/1000*($B$22*I24*I31*I71)),IF($B$7=1,I117/1000*($B$22*$B$23*I31*I71),I117/1000*($B$22*I24*I31*I71))),"")</f>
        <v>3342962.6101642493</v>
      </c>
      <c r="J121" s="200">
        <f t="shared" ca="1" si="23"/>
        <v>3596445.4079068815</v>
      </c>
      <c r="K121" s="200">
        <f t="shared" ca="1" si="23"/>
        <v>3846833.4372075354</v>
      </c>
      <c r="L121" s="200">
        <f t="shared" ca="1" si="23"/>
        <v>4133802.3717837948</v>
      </c>
      <c r="M121" s="200">
        <f t="shared" ca="1" si="23"/>
        <v>4167330.251597682</v>
      </c>
      <c r="N121" s="200">
        <f t="shared" ca="1" si="23"/>
        <v>4466360.1727619991</v>
      </c>
      <c r="O121" s="200">
        <f t="shared" ca="1" si="23"/>
        <v>4763843.4103405895</v>
      </c>
      <c r="P121" s="200">
        <f t="shared" ca="1" si="23"/>
        <v>5094880.0733482251</v>
      </c>
      <c r="Q121" s="200">
        <f t="shared" ca="1" si="23"/>
        <v>5355451.9187483964</v>
      </c>
      <c r="S121" s="201"/>
      <c r="T121" s="201"/>
    </row>
    <row r="122" spans="1:20" s="183" customFormat="1" ht="14.25" customHeight="1" x14ac:dyDescent="0.25">
      <c r="B122" s="201"/>
      <c r="H122" s="201"/>
      <c r="I122" s="201"/>
      <c r="J122" s="201"/>
      <c r="K122" s="201"/>
      <c r="L122" s="201"/>
      <c r="M122" s="201"/>
      <c r="N122" s="201"/>
      <c r="O122" s="201"/>
      <c r="P122" s="201"/>
      <c r="Q122" s="201"/>
    </row>
    <row r="123" spans="1:20" s="183" customFormat="1" ht="14.25" customHeight="1" x14ac:dyDescent="0.25">
      <c r="A123" s="202" t="s">
        <v>196</v>
      </c>
      <c r="B123" s="203"/>
      <c r="R123" s="204"/>
    </row>
    <row r="124" spans="1:20" s="183" customFormat="1" ht="14.25" customHeight="1" x14ac:dyDescent="0.25">
      <c r="A124" s="187" t="s">
        <v>197</v>
      </c>
      <c r="B124" s="187"/>
      <c r="C124" s="187"/>
      <c r="D124" s="187"/>
      <c r="E124" s="187"/>
      <c r="F124" s="187"/>
      <c r="G124" s="187"/>
      <c r="H124" s="205"/>
      <c r="I124" s="205"/>
      <c r="J124" s="205"/>
      <c r="K124" s="205"/>
      <c r="L124" s="205"/>
      <c r="M124" s="205"/>
      <c r="N124" s="205"/>
      <c r="O124" s="205"/>
      <c r="P124" s="205"/>
      <c r="Q124" s="205"/>
      <c r="R124" s="186"/>
    </row>
    <row r="125" spans="1:20" s="183" customFormat="1" ht="14.25" customHeight="1" x14ac:dyDescent="0.25">
      <c r="A125" s="183" t="s">
        <v>198</v>
      </c>
      <c r="B125" s="201"/>
      <c r="C125" s="183" t="s">
        <v>138</v>
      </c>
      <c r="H125" s="201">
        <f ca="1">IFERROR(IF($B$7=1,($B$12/1000*H71*$B$22*$B$23*H31)-H121,($B$12/1000*H71*$B$22*H24*H31)-H121),0)</f>
        <v>1628296.674048</v>
      </c>
      <c r="I125" s="201">
        <f t="shared" ref="I125:Q125" ca="1" si="24">IFERROR(IF($B$7=1,($B$12/1000*I71*$B$22*$B$23*I31)-I121,($B$12/1000*I71*$B$22*I24*I31)-I121),0)</f>
        <v>1415192.5498357499</v>
      </c>
      <c r="J125" s="201">
        <f t="shared" ca="1" si="24"/>
        <v>1161709.7520931177</v>
      </c>
      <c r="K125" s="201">
        <f t="shared" ca="1" si="24"/>
        <v>911321.72279246384</v>
      </c>
      <c r="L125" s="201">
        <f t="shared" ca="1" si="24"/>
        <v>624352.78821620438</v>
      </c>
      <c r="M125" s="201">
        <f t="shared" ca="1" si="24"/>
        <v>590824.9084023172</v>
      </c>
      <c r="N125" s="201">
        <f t="shared" ca="1" si="24"/>
        <v>291794.98723800015</v>
      </c>
      <c r="O125" s="201">
        <f t="shared" ca="1" si="24"/>
        <v>-5688.2503405902535</v>
      </c>
      <c r="P125" s="201">
        <f t="shared" ca="1" si="24"/>
        <v>-336724.91334822588</v>
      </c>
      <c r="Q125" s="201">
        <f t="shared" ca="1" si="24"/>
        <v>-597296.75874839723</v>
      </c>
      <c r="R125" s="186"/>
    </row>
    <row r="126" spans="1:20" s="12" customFormat="1" ht="14.25" customHeight="1" x14ac:dyDescent="0.25">
      <c r="A126" s="179" t="s">
        <v>199</v>
      </c>
      <c r="B126" s="179"/>
      <c r="C126" s="179" t="s">
        <v>138</v>
      </c>
      <c r="D126" s="179"/>
      <c r="E126" s="179"/>
      <c r="F126" s="179"/>
      <c r="G126" s="179"/>
      <c r="H126" s="206">
        <f ca="1">IF(H125&gt;2000000,2000000,H125)</f>
        <v>1628296.674048</v>
      </c>
      <c r="I126" s="206">
        <f t="shared" ref="I126:Q126" ca="1" si="25">IF(I125&gt;2000000,2000000,I125)</f>
        <v>1415192.5498357499</v>
      </c>
      <c r="J126" s="206">
        <f t="shared" ca="1" si="25"/>
        <v>1161709.7520931177</v>
      </c>
      <c r="K126" s="206">
        <f t="shared" ca="1" si="25"/>
        <v>911321.72279246384</v>
      </c>
      <c r="L126" s="206">
        <f t="shared" ca="1" si="25"/>
        <v>624352.78821620438</v>
      </c>
      <c r="M126" s="206">
        <f t="shared" ca="1" si="25"/>
        <v>590824.9084023172</v>
      </c>
      <c r="N126" s="206">
        <f t="shared" ca="1" si="25"/>
        <v>291794.98723800015</v>
      </c>
      <c r="O126" s="206">
        <f t="shared" ca="1" si="25"/>
        <v>-5688.2503405902535</v>
      </c>
      <c r="P126" s="206">
        <f t="shared" ca="1" si="25"/>
        <v>-336724.91334822588</v>
      </c>
      <c r="Q126" s="206">
        <f t="shared" ca="1" si="25"/>
        <v>-597296.75874839723</v>
      </c>
      <c r="R126" s="176"/>
    </row>
    <row r="127" spans="1:20" s="12" customFormat="1" ht="14.25" customHeight="1" x14ac:dyDescent="0.25">
      <c r="B127" s="183"/>
      <c r="C127" s="175"/>
      <c r="D127" s="175"/>
      <c r="E127" s="175"/>
      <c r="F127" s="175"/>
      <c r="G127" s="176"/>
      <c r="H127" s="176"/>
      <c r="I127" s="176"/>
      <c r="J127" s="176"/>
      <c r="K127" s="176"/>
      <c r="L127" s="176"/>
      <c r="M127" s="176"/>
      <c r="N127" s="176"/>
      <c r="O127" s="176"/>
      <c r="P127" s="176"/>
      <c r="Q127" s="176"/>
      <c r="R127" s="207"/>
      <c r="S127" s="208"/>
    </row>
    <row r="128" spans="1:20" s="12" customFormat="1" ht="14.25" customHeight="1" x14ac:dyDescent="0.25">
      <c r="B128" s="183"/>
      <c r="C128" s="175"/>
      <c r="D128" s="175"/>
      <c r="E128" s="175"/>
      <c r="F128" s="175"/>
      <c r="G128" s="176"/>
      <c r="H128" s="176"/>
      <c r="I128" s="176"/>
      <c r="J128" s="176"/>
      <c r="K128" s="176"/>
      <c r="L128" s="176"/>
      <c r="M128" s="176"/>
      <c r="N128" s="176"/>
      <c r="O128" s="176"/>
      <c r="P128" s="176"/>
      <c r="Q128" s="176"/>
      <c r="R128" s="207"/>
      <c r="S128" s="208"/>
    </row>
    <row r="129" spans="1:21" s="214" customFormat="1" ht="21" x14ac:dyDescent="0.35">
      <c r="A129" s="209" t="s">
        <v>200</v>
      </c>
      <c r="B129" s="210">
        <f ca="1">SUM(H126:Q126)</f>
        <v>5683783.4601886394</v>
      </c>
      <c r="C129" s="211"/>
      <c r="D129" s="211"/>
      <c r="E129" s="211"/>
      <c r="F129" s="211"/>
      <c r="G129" s="212"/>
      <c r="H129" s="213"/>
      <c r="I129" s="213"/>
      <c r="J129" s="213"/>
      <c r="K129" s="213"/>
      <c r="L129" s="213"/>
      <c r="M129" s="213"/>
      <c r="N129" s="213"/>
      <c r="O129" s="213"/>
      <c r="P129" s="213"/>
      <c r="Q129" s="213"/>
      <c r="R129" s="209"/>
    </row>
    <row r="130" spans="1:21" s="12" customFormat="1" ht="5.0999999999999996" customHeight="1" x14ac:dyDescent="0.25">
      <c r="A130" s="215"/>
      <c r="B130" s="215"/>
      <c r="C130" s="49"/>
      <c r="D130" s="49"/>
      <c r="E130" s="49"/>
      <c r="F130" s="49"/>
      <c r="G130" s="49"/>
      <c r="H130" s="49"/>
      <c r="I130" s="49"/>
      <c r="J130" s="49"/>
      <c r="K130" s="49"/>
      <c r="L130" s="49"/>
      <c r="M130" s="49"/>
      <c r="N130" s="49"/>
    </row>
    <row r="131" spans="1:21" s="12" customFormat="1" ht="14.25" customHeight="1" x14ac:dyDescent="0.25">
      <c r="B131" s="216"/>
      <c r="H131" s="197"/>
      <c r="I131" s="197"/>
      <c r="J131" s="197"/>
      <c r="K131" s="197"/>
      <c r="L131" s="197"/>
      <c r="M131" s="197"/>
      <c r="N131" s="197"/>
      <c r="O131" s="197"/>
      <c r="P131" s="197"/>
      <c r="Q131" s="197"/>
    </row>
    <row r="132" spans="1:21" s="12" customFormat="1" ht="14.25" customHeight="1" x14ac:dyDescent="0.25">
      <c r="B132" s="216"/>
      <c r="H132" s="197"/>
      <c r="I132" s="197"/>
      <c r="J132" s="197"/>
      <c r="K132" s="197"/>
      <c r="L132" s="197"/>
      <c r="M132" s="197"/>
      <c r="N132" s="197"/>
      <c r="O132" s="197"/>
      <c r="P132" s="197"/>
      <c r="Q132" s="197"/>
    </row>
    <row r="133" spans="1:21" s="12" customFormat="1" ht="14.25" customHeight="1" x14ac:dyDescent="0.25">
      <c r="B133" s="216"/>
      <c r="H133" s="197"/>
      <c r="I133" s="197"/>
      <c r="J133" s="197"/>
      <c r="K133" s="197"/>
      <c r="L133" s="197"/>
      <c r="M133" s="197"/>
      <c r="N133" s="197"/>
      <c r="O133" s="197"/>
      <c r="P133" s="197"/>
      <c r="Q133" s="197"/>
    </row>
    <row r="134" spans="1:21" s="12" customFormat="1" ht="14.25" customHeight="1" x14ac:dyDescent="0.25">
      <c r="B134" s="216"/>
      <c r="H134" s="197"/>
      <c r="I134" s="197"/>
      <c r="J134" s="197"/>
      <c r="K134" s="197"/>
      <c r="L134" s="197"/>
      <c r="M134" s="197"/>
      <c r="N134" s="197"/>
      <c r="O134" s="197"/>
      <c r="P134" s="197"/>
      <c r="Q134" s="197"/>
    </row>
    <row r="135" spans="1:21" s="12" customFormat="1" ht="14.25" customHeight="1" x14ac:dyDescent="0.25">
      <c r="B135" s="217"/>
      <c r="C135" s="218"/>
      <c r="D135" s="218"/>
      <c r="E135" s="218"/>
      <c r="F135" s="218"/>
      <c r="G135" s="218"/>
      <c r="H135" s="218"/>
      <c r="I135" s="218"/>
      <c r="J135" s="218"/>
      <c r="K135" s="218"/>
      <c r="L135" s="218"/>
      <c r="M135" s="218"/>
      <c r="N135" s="218"/>
      <c r="R135" s="219"/>
    </row>
    <row r="136" spans="1:21" s="15" customFormat="1" ht="14.25" customHeight="1" x14ac:dyDescent="0.25">
      <c r="A136" s="13" t="s">
        <v>201</v>
      </c>
      <c r="B136" s="13"/>
      <c r="C136" s="13"/>
      <c r="D136" s="13"/>
      <c r="E136" s="13"/>
      <c r="F136" s="13"/>
      <c r="G136" s="13"/>
      <c r="H136" s="13"/>
      <c r="I136" s="13"/>
      <c r="J136" s="13"/>
    </row>
    <row r="137" spans="1:21" s="22" customFormat="1" ht="14.25" customHeight="1" x14ac:dyDescent="0.25">
      <c r="A137" s="290" t="s">
        <v>117</v>
      </c>
      <c r="B137" s="291"/>
      <c r="C137" s="291"/>
      <c r="D137" s="291"/>
      <c r="E137" s="291"/>
      <c r="F137" s="291"/>
      <c r="G137" s="291"/>
      <c r="H137" s="291"/>
      <c r="I137" s="291"/>
      <c r="J137" s="291"/>
      <c r="K137" s="291"/>
      <c r="L137" s="291"/>
      <c r="M137" s="291"/>
      <c r="N137" s="294"/>
      <c r="O137" s="294"/>
      <c r="P137" s="294"/>
      <c r="Q137" s="294"/>
    </row>
    <row r="138" spans="1:21" s="12" customFormat="1" ht="14.25" customHeight="1" x14ac:dyDescent="0.25">
      <c r="B138" s="217"/>
      <c r="R138" s="219"/>
    </row>
    <row r="139" spans="1:21" s="222" customFormat="1" ht="14.25" customHeight="1" x14ac:dyDescent="0.25">
      <c r="A139" s="220" t="s">
        <v>170</v>
      </c>
      <c r="B139" s="220"/>
      <c r="C139" s="221"/>
      <c r="D139" s="180">
        <v>-4</v>
      </c>
      <c r="E139" s="180">
        <v>-3</v>
      </c>
      <c r="F139" s="180">
        <v>-2</v>
      </c>
      <c r="G139" s="180">
        <v>-1</v>
      </c>
      <c r="H139" s="180">
        <v>1</v>
      </c>
      <c r="I139" s="180">
        <v>2</v>
      </c>
      <c r="J139" s="180">
        <v>3</v>
      </c>
      <c r="K139" s="180">
        <v>4</v>
      </c>
      <c r="L139" s="180">
        <v>5</v>
      </c>
      <c r="M139" s="180">
        <v>6</v>
      </c>
      <c r="N139" s="180">
        <v>7</v>
      </c>
      <c r="O139" s="180">
        <v>8</v>
      </c>
      <c r="P139" s="180">
        <v>9</v>
      </c>
      <c r="Q139" s="180">
        <v>10</v>
      </c>
    </row>
    <row r="140" spans="1:21" s="226" customFormat="1" ht="14.25" customHeight="1" x14ac:dyDescent="0.25">
      <c r="A140" s="223" t="s">
        <v>171</v>
      </c>
      <c r="B140" s="224"/>
      <c r="C140" s="225"/>
      <c r="D140" s="225"/>
      <c r="E140" s="225"/>
      <c r="F140" s="225"/>
      <c r="G140" s="225"/>
      <c r="H140" s="225">
        <f t="shared" ref="H140:Q140" si="26">POWER(1+$B$77,H139-$H$96)</f>
        <v>1</v>
      </c>
      <c r="I140" s="225">
        <f t="shared" si="26"/>
        <v>1.02</v>
      </c>
      <c r="J140" s="225">
        <f t="shared" si="26"/>
        <v>1.0404</v>
      </c>
      <c r="K140" s="225">
        <f t="shared" si="26"/>
        <v>1.0612079999999999</v>
      </c>
      <c r="L140" s="225">
        <f t="shared" si="26"/>
        <v>1.08243216</v>
      </c>
      <c r="M140" s="225">
        <f t="shared" si="26"/>
        <v>1.1040808032</v>
      </c>
      <c r="N140" s="225">
        <f t="shared" si="26"/>
        <v>1.1261624192640001</v>
      </c>
      <c r="O140" s="225">
        <f t="shared" si="26"/>
        <v>1.1486856676492798</v>
      </c>
      <c r="P140" s="225">
        <f t="shared" si="26"/>
        <v>1.1716593810022655</v>
      </c>
      <c r="Q140" s="225">
        <f t="shared" si="26"/>
        <v>1.1950925686223108</v>
      </c>
    </row>
    <row r="141" spans="1:21" s="12" customFormat="1" ht="14.25" customHeight="1" x14ac:dyDescent="0.25">
      <c r="A141" s="227"/>
      <c r="B141" s="228"/>
      <c r="C141" s="228"/>
      <c r="D141" s="228"/>
      <c r="E141" s="228"/>
      <c r="F141" s="228"/>
      <c r="G141" s="228"/>
      <c r="H141" s="228"/>
      <c r="I141" s="228"/>
      <c r="J141" s="228"/>
      <c r="K141" s="228"/>
      <c r="L141" s="228"/>
      <c r="M141" s="228"/>
      <c r="N141" s="228"/>
      <c r="O141" s="228"/>
      <c r="P141" s="228"/>
      <c r="Q141" s="228"/>
      <c r="R141" s="219"/>
    </row>
    <row r="142" spans="1:21" s="12" customFormat="1" ht="14.25" customHeight="1" x14ac:dyDescent="0.25">
      <c r="A142" s="229" t="s">
        <v>202</v>
      </c>
      <c r="B142" s="229"/>
      <c r="C142" s="229"/>
      <c r="D142" s="229"/>
      <c r="E142" s="229"/>
      <c r="F142" s="229"/>
      <c r="G142" s="229"/>
      <c r="H142" s="230"/>
      <c r="I142" s="230"/>
      <c r="J142" s="230"/>
      <c r="K142" s="230"/>
      <c r="L142" s="230"/>
      <c r="M142" s="230"/>
      <c r="N142" s="230"/>
      <c r="O142" s="230"/>
      <c r="P142" s="230"/>
      <c r="Q142" s="230"/>
      <c r="R142" s="183"/>
      <c r="S142" s="183"/>
      <c r="T142" s="183"/>
      <c r="U142" s="183"/>
    </row>
    <row r="143" spans="1:21" s="12" customFormat="1" ht="14.25" customHeight="1" x14ac:dyDescent="0.35">
      <c r="A143" s="183" t="s">
        <v>203</v>
      </c>
      <c r="B143" s="184"/>
      <c r="C143" s="231" t="s">
        <v>204</v>
      </c>
      <c r="D143" s="231"/>
      <c r="E143" s="231"/>
      <c r="F143" s="231"/>
      <c r="G143" s="183"/>
      <c r="H143" s="252" cm="1">
        <f t="array" ref="H143">_xlfn.IFS(H56="ETS1",(H57/1000*'Algemene parameters'!$B$12*0.0036/'Algemene parameters'!$B$14),H56="ETS2",(H58/1000*'Algemene parameters'!$B$12*0.0036/'Algemene parameters'!$B$14),TRUE,0)</f>
        <v>1.9677E-2</v>
      </c>
      <c r="I143" s="252" cm="1">
        <f t="array" ref="I143">_xlfn.IFS(I56="ETS1",(I57/1000*'Algemene parameters'!$B$12*0.0036/'Algemene parameters'!$B$14),I56="ETS2",(I58/1000*'Algemene parameters'!$B$12*0.0036/'Algemene parameters'!$B$14),TRUE,0)</f>
        <v>2.1026279999999998E-2</v>
      </c>
      <c r="J143" s="252" cm="1">
        <f t="array" ref="J143">_xlfn.IFS(J56="ETS1",(J57/1000*'Algemene parameters'!$B$12*0.0036/'Algemene parameters'!$B$14),J56="ETS2",(J58/1000*'Algemene parameters'!$B$12*0.0036/'Algemene parameters'!$B$14),TRUE,0)</f>
        <v>2.2375559999999999E-2</v>
      </c>
      <c r="K143" s="252" cm="1">
        <f t="array" ref="K143">_xlfn.IFS(K56="ETS1",(K57/1000*'Algemene parameters'!$B$12*0.0036/'Algemene parameters'!$B$14),K56="ETS2",(K58/1000*'Algemene parameters'!$B$12*0.0036/'Algemene parameters'!$B$14),TRUE,0)</f>
        <v>2.3724839999999997E-2</v>
      </c>
      <c r="L143" s="252" cm="1">
        <f t="array" ref="L143">_xlfn.IFS(L56="ETS1",(L57/1000*'Algemene parameters'!$B$12*0.0036/'Algemene parameters'!$B$14),L56="ETS2",(L58/1000*'Algemene parameters'!$B$12*0.0036/'Algemene parameters'!$B$14),TRUE,0)</f>
        <v>2.5074120000000002E-2</v>
      </c>
      <c r="M143" s="252" cm="1">
        <f t="array" ref="M143">_xlfn.IFS(M56="ETS1",(M57/1000*'Algemene parameters'!$B$12*0.0036/'Algemene parameters'!$B$14),M56="ETS2",(M58/1000*'Algemene parameters'!$B$12*0.0036/'Algemene parameters'!$B$14),TRUE,0)</f>
        <v>2.6423399999999996E-2</v>
      </c>
      <c r="N143" s="252" cm="1">
        <f t="array" ref="N143">_xlfn.IFS(N56="ETS1",(N57/1000*'Algemene parameters'!$B$12*0.0036/'Algemene parameters'!$B$14),N56="ETS2",(N58/1000*'Algemene parameters'!$B$12*0.0036/'Algemene parameters'!$B$14),TRUE,0)</f>
        <v>2.7772679999999998E-2</v>
      </c>
      <c r="O143" s="252" cm="1">
        <f t="array" ref="O143">_xlfn.IFS(O56="ETS1",(O57/1000*'Algemene parameters'!$B$12*0.0036/'Algemene parameters'!$B$14),O56="ETS2",(O58/1000*'Algemene parameters'!$B$12*0.0036/'Algemene parameters'!$B$14),TRUE,0)</f>
        <v>2.9121959999999999E-2</v>
      </c>
      <c r="P143" s="252" cm="1">
        <f t="array" ref="P143">_xlfn.IFS(P56="ETS1",(P57/1000*'Algemene parameters'!$B$12*0.0036/'Algemene parameters'!$B$14),P56="ETS2",(P58/1000*'Algemene parameters'!$B$12*0.0036/'Algemene parameters'!$B$14),TRUE,0)</f>
        <v>3.047124E-2</v>
      </c>
      <c r="Q143" s="252" cm="1">
        <f t="array" ref="Q143">_xlfn.IFS(Q56="ETS1",(Q57/1000*'Algemene parameters'!$B$12*0.0036/'Algemene parameters'!$B$14),Q56="ETS2",(Q58/1000*'Algemene parameters'!$B$12*0.0036/'Algemene parameters'!$B$14),TRUE,0)</f>
        <v>3.1820519999999991E-2</v>
      </c>
      <c r="R143" s="183"/>
      <c r="S143" s="183"/>
      <c r="T143" s="183"/>
      <c r="U143" s="183"/>
    </row>
    <row r="144" spans="1:21" s="12" customFormat="1" ht="14.25" customHeight="1" x14ac:dyDescent="0.35">
      <c r="A144" s="183" t="s">
        <v>205</v>
      </c>
      <c r="B144" s="184"/>
      <c r="C144" s="231" t="s">
        <v>204</v>
      </c>
      <c r="D144" s="231"/>
      <c r="E144" s="231"/>
      <c r="F144" s="231"/>
      <c r="G144" s="183"/>
      <c r="H144" s="252">
        <f t="shared" ref="H144:Q144" si="27">H143*(1-H59)</f>
        <v>1.9677E-2</v>
      </c>
      <c r="I144" s="252">
        <f t="shared" si="27"/>
        <v>2.1026279999999998E-2</v>
      </c>
      <c r="J144" s="252">
        <f t="shared" si="27"/>
        <v>2.2375559999999999E-2</v>
      </c>
      <c r="K144" s="252">
        <f t="shared" si="27"/>
        <v>2.3724839999999997E-2</v>
      </c>
      <c r="L144" s="252">
        <f t="shared" si="27"/>
        <v>2.5074120000000002E-2</v>
      </c>
      <c r="M144" s="252">
        <f t="shared" si="27"/>
        <v>2.6423399999999996E-2</v>
      </c>
      <c r="N144" s="252">
        <f t="shared" si="27"/>
        <v>2.7772679999999998E-2</v>
      </c>
      <c r="O144" s="252">
        <f t="shared" si="27"/>
        <v>2.9121959999999999E-2</v>
      </c>
      <c r="P144" s="252">
        <f t="shared" si="27"/>
        <v>3.047124E-2</v>
      </c>
      <c r="Q144" s="252">
        <f t="shared" si="27"/>
        <v>3.1820519999999991E-2</v>
      </c>
    </row>
    <row r="145" spans="1:18" s="12" customFormat="1" ht="14.25" customHeight="1" x14ac:dyDescent="0.25">
      <c r="A145" s="183"/>
      <c r="B145" s="184"/>
      <c r="C145" s="231"/>
      <c r="D145" s="231"/>
      <c r="E145" s="231"/>
      <c r="F145" s="231"/>
      <c r="G145" s="183"/>
      <c r="H145" s="232"/>
      <c r="I145" s="232"/>
      <c r="J145" s="232"/>
      <c r="K145" s="232"/>
      <c r="L145" s="232"/>
      <c r="M145" s="232"/>
      <c r="N145" s="232"/>
      <c r="O145" s="232"/>
      <c r="P145" s="232"/>
      <c r="Q145" s="232"/>
    </row>
    <row r="146" spans="1:18" s="12" customFormat="1" ht="14.25" customHeight="1" x14ac:dyDescent="0.25">
      <c r="A146" s="90" t="s">
        <v>206</v>
      </c>
      <c r="B146" s="228"/>
      <c r="C146" s="132" t="s">
        <v>159</v>
      </c>
      <c r="D146" s="228"/>
      <c r="E146" s="228"/>
      <c r="F146" s="228"/>
      <c r="G146" s="228"/>
      <c r="H146" s="228"/>
      <c r="I146" s="228"/>
      <c r="J146" s="228"/>
      <c r="K146" s="228"/>
      <c r="L146" s="228"/>
      <c r="M146" s="228"/>
      <c r="N146" s="228"/>
      <c r="O146" s="228"/>
      <c r="P146" s="228"/>
      <c r="Q146" s="228"/>
      <c r="R146" s="219"/>
    </row>
    <row r="147" spans="1:18" s="12" customFormat="1" ht="14.25" customHeight="1" x14ac:dyDescent="0.25">
      <c r="A147" s="229" t="s">
        <v>207</v>
      </c>
      <c r="B147" s="229"/>
      <c r="C147" s="229"/>
      <c r="D147" s="233">
        <f t="shared" ref="D147:F147" si="28">-ABS(D35)</f>
        <v>0</v>
      </c>
      <c r="E147" s="233">
        <f t="shared" si="28"/>
        <v>0</v>
      </c>
      <c r="F147" s="233">
        <f t="shared" si="28"/>
        <v>0</v>
      </c>
      <c r="G147" s="233">
        <f>-ABS(G35)</f>
        <v>-6000000</v>
      </c>
      <c r="H147" s="233">
        <f ca="1">IFERROR(-ABS(H47)-ABS(H42),0)</f>
        <v>-4617995.335521128</v>
      </c>
      <c r="I147" s="233">
        <f t="shared" ref="I147:P147" ca="1" si="29">IFERROR(-ABS(I47)-ABS(I42),0)</f>
        <v>-4472859.8497961555</v>
      </c>
      <c r="J147" s="233">
        <f t="shared" ca="1" si="29"/>
        <v>-4320167.7465079762</v>
      </c>
      <c r="K147" s="233">
        <f t="shared" ca="1" si="29"/>
        <v>-4159674.8151483568</v>
      </c>
      <c r="L147" s="233">
        <f t="shared" ca="1" si="29"/>
        <v>-3991130.0994357467</v>
      </c>
      <c r="M147" s="233">
        <f t="shared" ca="1" si="29"/>
        <v>-4066152.7014244618</v>
      </c>
      <c r="N147" s="233">
        <f t="shared" ca="1" si="29"/>
        <v>-3885761.2396719414</v>
      </c>
      <c r="O147" s="233">
        <f t="shared" ca="1" si="29"/>
        <v>-3696623.6583687547</v>
      </c>
      <c r="P147" s="233">
        <f t="shared" ca="1" si="29"/>
        <v>-3498462.2693175687</v>
      </c>
      <c r="Q147" s="233">
        <f ca="1">IFERROR(-ABS(Q47)-ABS(Q42),0)</f>
        <v>-3290991.7752409857</v>
      </c>
      <c r="R147" s="207"/>
    </row>
    <row r="148" spans="1:18" s="12" customFormat="1" ht="14.25" customHeight="1" x14ac:dyDescent="0.25">
      <c r="B148" s="32"/>
    </row>
    <row r="149" spans="1:18" s="12" customFormat="1" ht="14.25" customHeight="1" x14ac:dyDescent="0.25">
      <c r="A149" s="90" t="s">
        <v>208</v>
      </c>
      <c r="B149" s="32"/>
      <c r="C149" s="132" t="s">
        <v>159</v>
      </c>
      <c r="H149" s="218"/>
      <c r="I149" s="218"/>
      <c r="J149" s="218"/>
      <c r="K149" s="218"/>
      <c r="L149" s="218"/>
      <c r="M149" s="218"/>
      <c r="N149" s="218"/>
      <c r="O149" s="218"/>
      <c r="P149" s="218"/>
      <c r="Q149" s="218"/>
    </row>
    <row r="150" spans="1:18" s="12" customFormat="1" ht="14.25" customHeight="1" x14ac:dyDescent="0.25">
      <c r="A150" s="12" t="s">
        <v>209</v>
      </c>
      <c r="B150" s="32"/>
      <c r="C150" s="12" t="s">
        <v>138</v>
      </c>
      <c r="H150" s="218">
        <f>IFERROR(IF($B$7=1,($B$22*$B$23*H29)*(H144),($B$22*H24*H29)*(H144)),0)</f>
        <v>1285695.18</v>
      </c>
      <c r="I150" s="218">
        <f t="shared" ref="I150:P150" si="30">IFERROR(IF($B$7=1,($B$22*$B$23*I29)*(I144),($B$22*I24*I29)*(I144)),0)</f>
        <v>1373857.1351999999</v>
      </c>
      <c r="J150" s="218">
        <f t="shared" si="30"/>
        <v>1462019.0903999999</v>
      </c>
      <c r="K150" s="218">
        <f t="shared" si="30"/>
        <v>1550181.0455999998</v>
      </c>
      <c r="L150" s="218">
        <f t="shared" si="30"/>
        <v>1638343.0008</v>
      </c>
      <c r="M150" s="218">
        <f t="shared" si="30"/>
        <v>1726504.9559999998</v>
      </c>
      <c r="N150" s="218">
        <f t="shared" si="30"/>
        <v>1814666.9111999997</v>
      </c>
      <c r="O150" s="218">
        <f t="shared" si="30"/>
        <v>1902828.8663999999</v>
      </c>
      <c r="P150" s="218">
        <f t="shared" si="30"/>
        <v>1990990.8215999999</v>
      </c>
      <c r="Q150" s="218">
        <f>IFERROR(IF($B$7=1,($B$22*$B$23*Q29)*(Q144),($B$22*Q24*Q29)*(Q144)),0)</f>
        <v>2079152.7767999994</v>
      </c>
    </row>
    <row r="151" spans="1:18" s="12" customFormat="1" ht="14.25" customHeight="1" x14ac:dyDescent="0.25">
      <c r="A151" s="231" t="s">
        <v>210</v>
      </c>
      <c r="B151" s="32"/>
      <c r="C151" s="12" t="s">
        <v>138</v>
      </c>
      <c r="H151" s="218">
        <f>IFERROR(IF($B$7=1,($B$22*$B$23*H29)*H101,($B$22*H24*H29)*H101),0)</f>
        <v>2496598.2772821505</v>
      </c>
      <c r="I151" s="218">
        <f t="shared" ref="I151:P151" si="31">IFERROR(IF($B$7=1,($B$22*$B$23*I29)*I101,($B$22*I24*I29)*I101),0)</f>
        <v>2498264.1199782621</v>
      </c>
      <c r="J151" s="218">
        <f t="shared" si="31"/>
        <v>2499963.279528297</v>
      </c>
      <c r="K151" s="218">
        <f t="shared" si="31"/>
        <v>2501696.4222693327</v>
      </c>
      <c r="L151" s="218">
        <f t="shared" si="31"/>
        <v>2531958.6859329813</v>
      </c>
      <c r="M151" s="218">
        <f t="shared" si="31"/>
        <v>2552347.2125355839</v>
      </c>
      <c r="N151" s="218">
        <f t="shared" si="31"/>
        <v>2582823.7167473803</v>
      </c>
      <c r="O151" s="218">
        <f t="shared" si="31"/>
        <v>2603007.4178227838</v>
      </c>
      <c r="P151" s="218">
        <f t="shared" si="31"/>
        <v>2655067.5661792331</v>
      </c>
      <c r="Q151" s="218">
        <f>IFERROR(IF($B$7=1,($B$22*$B$23*Q29)*Q101,($B$22*Q24*Q29)*Q101),0)</f>
        <v>2708168.9175028219</v>
      </c>
    </row>
    <row r="152" spans="1:18" s="12" customFormat="1" ht="14.25" customHeight="1" x14ac:dyDescent="0.25">
      <c r="A152" s="231" t="s">
        <v>155</v>
      </c>
      <c r="B152" s="32"/>
      <c r="C152" s="12" t="s">
        <v>138</v>
      </c>
      <c r="D152" s="218">
        <f t="shared" ref="D152:F152" si="32">D61</f>
        <v>0</v>
      </c>
      <c r="E152" s="218">
        <f t="shared" si="32"/>
        <v>0</v>
      </c>
      <c r="F152" s="218">
        <f t="shared" si="32"/>
        <v>0</v>
      </c>
      <c r="G152" s="218">
        <f t="shared" ref="G152:Q152" si="33">G61</f>
        <v>0</v>
      </c>
      <c r="H152" s="218">
        <f t="shared" si="33"/>
        <v>200000</v>
      </c>
      <c r="I152" s="218">
        <f t="shared" si="33"/>
        <v>200000</v>
      </c>
      <c r="J152" s="218">
        <f t="shared" si="33"/>
        <v>200000</v>
      </c>
      <c r="K152" s="218">
        <f t="shared" si="33"/>
        <v>200000</v>
      </c>
      <c r="L152" s="218">
        <f t="shared" si="33"/>
        <v>0</v>
      </c>
      <c r="M152" s="218">
        <f t="shared" si="33"/>
        <v>0</v>
      </c>
      <c r="N152" s="218">
        <f t="shared" si="33"/>
        <v>0</v>
      </c>
      <c r="O152" s="218">
        <f t="shared" si="33"/>
        <v>0</v>
      </c>
      <c r="P152" s="218">
        <f t="shared" si="33"/>
        <v>0</v>
      </c>
      <c r="Q152" s="218">
        <f t="shared" si="33"/>
        <v>0</v>
      </c>
    </row>
    <row r="153" spans="1:18" s="12" customFormat="1" ht="10.9" customHeight="1" x14ac:dyDescent="0.25">
      <c r="A153" s="21" t="s">
        <v>156</v>
      </c>
      <c r="B153" s="32"/>
      <c r="C153" s="12" t="s">
        <v>138</v>
      </c>
      <c r="D153" s="218"/>
      <c r="E153" s="218"/>
      <c r="F153" s="218"/>
      <c r="G153" s="218"/>
      <c r="H153" s="218">
        <f>IFERROR(H62*H29*$B$22,0)</f>
        <v>0</v>
      </c>
      <c r="I153" s="218">
        <f t="shared" ref="I153:Q153" si="34">IFERROR(I62*I29*$B$22,0)</f>
        <v>0</v>
      </c>
      <c r="J153" s="218">
        <f>IFERROR(J62*J29*$B$22,0)</f>
        <v>0</v>
      </c>
      <c r="K153" s="218">
        <f t="shared" si="34"/>
        <v>0</v>
      </c>
      <c r="L153" s="218">
        <f t="shared" si="34"/>
        <v>0</v>
      </c>
      <c r="M153" s="218">
        <f t="shared" si="34"/>
        <v>0</v>
      </c>
      <c r="N153" s="218">
        <f t="shared" si="34"/>
        <v>0</v>
      </c>
      <c r="O153" s="218">
        <f t="shared" si="34"/>
        <v>0</v>
      </c>
      <c r="P153" s="218">
        <f t="shared" si="34"/>
        <v>0</v>
      </c>
      <c r="Q153" s="218">
        <f t="shared" si="34"/>
        <v>0</v>
      </c>
    </row>
    <row r="154" spans="1:18" s="12" customFormat="1" ht="14.25" customHeight="1" x14ac:dyDescent="0.25">
      <c r="A154" s="229" t="s">
        <v>211</v>
      </c>
      <c r="B154" s="234"/>
      <c r="C154" s="234" t="s">
        <v>138</v>
      </c>
      <c r="D154" s="235">
        <f t="shared" ref="D154:Q154" si="35">SUM(D150:D153)</f>
        <v>0</v>
      </c>
      <c r="E154" s="235">
        <f t="shared" si="35"/>
        <v>0</v>
      </c>
      <c r="F154" s="235">
        <f t="shared" si="35"/>
        <v>0</v>
      </c>
      <c r="G154" s="235">
        <f t="shared" si="35"/>
        <v>0</v>
      </c>
      <c r="H154" s="235">
        <f t="shared" si="35"/>
        <v>3982293.4572821502</v>
      </c>
      <c r="I154" s="235">
        <f t="shared" si="35"/>
        <v>4072121.255178262</v>
      </c>
      <c r="J154" s="235">
        <f t="shared" si="35"/>
        <v>4161982.3699282967</v>
      </c>
      <c r="K154" s="235">
        <f t="shared" si="35"/>
        <v>4251877.4678693321</v>
      </c>
      <c r="L154" s="235">
        <f t="shared" si="35"/>
        <v>4170301.6867329814</v>
      </c>
      <c r="M154" s="235">
        <f t="shared" si="35"/>
        <v>4278852.1685355837</v>
      </c>
      <c r="N154" s="235">
        <f t="shared" si="35"/>
        <v>4397490.6279473798</v>
      </c>
      <c r="O154" s="235">
        <f t="shared" si="35"/>
        <v>4505836.2842227835</v>
      </c>
      <c r="P154" s="235">
        <f t="shared" si="35"/>
        <v>4646058.387779233</v>
      </c>
      <c r="Q154" s="235">
        <f t="shared" si="35"/>
        <v>4787321.6943028215</v>
      </c>
      <c r="R154" s="207"/>
    </row>
    <row r="155" spans="1:18" s="12" customFormat="1" ht="14.25" customHeight="1" x14ac:dyDescent="0.25"/>
    <row r="156" spans="1:18" s="12" customFormat="1" ht="14.25" customHeight="1" x14ac:dyDescent="0.25">
      <c r="A156" s="202" t="s">
        <v>212</v>
      </c>
      <c r="B156" s="184"/>
      <c r="C156" s="132" t="s">
        <v>159</v>
      </c>
      <c r="G156" s="183"/>
      <c r="H156" s="236"/>
      <c r="I156" s="236"/>
      <c r="J156" s="236"/>
      <c r="K156" s="236"/>
      <c r="L156" s="236"/>
      <c r="M156" s="236"/>
      <c r="N156" s="236"/>
      <c r="O156" s="236"/>
      <c r="P156" s="236"/>
      <c r="Q156" s="236"/>
    </row>
    <row r="157" spans="1:18" s="12" customFormat="1" ht="14.25" customHeight="1" x14ac:dyDescent="0.25">
      <c r="A157" s="229" t="s">
        <v>213</v>
      </c>
      <c r="B157" s="229"/>
      <c r="C157" s="229"/>
      <c r="D157" s="229"/>
      <c r="E157" s="229"/>
      <c r="F157" s="229"/>
      <c r="G157" s="229"/>
      <c r="H157" s="229"/>
      <c r="I157" s="229"/>
      <c r="J157" s="229"/>
      <c r="K157" s="229"/>
      <c r="L157" s="229"/>
      <c r="M157" s="229"/>
      <c r="N157" s="229"/>
      <c r="O157" s="229"/>
      <c r="P157" s="229"/>
      <c r="Q157" s="229"/>
    </row>
    <row r="158" spans="1:18" s="12" customFormat="1" ht="14.25" customHeight="1" x14ac:dyDescent="0.25">
      <c r="A158" s="12" t="s">
        <v>214</v>
      </c>
      <c r="B158" s="32"/>
      <c r="C158" s="12" t="s">
        <v>138</v>
      </c>
      <c r="H158" s="218">
        <f>-ABS(SUM($D$35:$G$35))/$B$76</f>
        <v>-600000</v>
      </c>
      <c r="I158" s="218">
        <f t="shared" ref="I158:Q158" si="36">-ABS(SUM($D$35:$G$35))/$B$76</f>
        <v>-600000</v>
      </c>
      <c r="J158" s="218">
        <f t="shared" si="36"/>
        <v>-600000</v>
      </c>
      <c r="K158" s="218">
        <f t="shared" si="36"/>
        <v>-600000</v>
      </c>
      <c r="L158" s="218">
        <f>-ABS(SUM($D$35:$G$35))/$B$76</f>
        <v>-600000</v>
      </c>
      <c r="M158" s="218">
        <f t="shared" si="36"/>
        <v>-600000</v>
      </c>
      <c r="N158" s="218">
        <f t="shared" si="36"/>
        <v>-600000</v>
      </c>
      <c r="O158" s="218">
        <f t="shared" si="36"/>
        <v>-600000</v>
      </c>
      <c r="P158" s="218">
        <f t="shared" si="36"/>
        <v>-600000</v>
      </c>
      <c r="Q158" s="218">
        <f t="shared" si="36"/>
        <v>-600000</v>
      </c>
      <c r="R158" s="93"/>
    </row>
    <row r="159" spans="1:18" s="12" customFormat="1" ht="14.25" customHeight="1" x14ac:dyDescent="0.25">
      <c r="A159" s="231" t="s">
        <v>215</v>
      </c>
      <c r="B159" s="231"/>
      <c r="C159" s="12" t="s">
        <v>138</v>
      </c>
      <c r="F159" s="183"/>
      <c r="G159" s="231"/>
      <c r="H159" s="237">
        <f t="shared" ref="H159:Q159" ca="1" si="37">H147+H158</f>
        <v>-5217995.335521128</v>
      </c>
      <c r="I159" s="237">
        <f t="shared" ca="1" si="37"/>
        <v>-5072859.8497961555</v>
      </c>
      <c r="J159" s="237">
        <f t="shared" ca="1" si="37"/>
        <v>-4920167.7465079762</v>
      </c>
      <c r="K159" s="237">
        <f t="shared" ca="1" si="37"/>
        <v>-4759674.8151483573</v>
      </c>
      <c r="L159" s="237">
        <f t="shared" ca="1" si="37"/>
        <v>-4591130.0994357467</v>
      </c>
      <c r="M159" s="237">
        <f t="shared" ca="1" si="37"/>
        <v>-4666152.7014244618</v>
      </c>
      <c r="N159" s="237">
        <f t="shared" ca="1" si="37"/>
        <v>-4485761.2396719418</v>
      </c>
      <c r="O159" s="237">
        <f t="shared" ca="1" si="37"/>
        <v>-4296623.6583687551</v>
      </c>
      <c r="P159" s="237">
        <f t="shared" ca="1" si="37"/>
        <v>-4098462.2693175687</v>
      </c>
      <c r="Q159" s="237">
        <f t="shared" ca="1" si="37"/>
        <v>-3890991.7752409857</v>
      </c>
    </row>
    <row r="160" spans="1:18" s="12" customFormat="1" ht="14.25" customHeight="1" x14ac:dyDescent="0.25">
      <c r="A160" s="183" t="s">
        <v>216</v>
      </c>
      <c r="B160" s="184"/>
      <c r="C160" s="183" t="s">
        <v>138</v>
      </c>
      <c r="D160" s="183"/>
      <c r="E160" s="183"/>
      <c r="G160" s="236"/>
      <c r="H160" s="236">
        <f ca="1">H154+H159</f>
        <v>-1235701.8782389779</v>
      </c>
      <c r="I160" s="236">
        <f ca="1">I154+I159</f>
        <v>-1000738.5946178935</v>
      </c>
      <c r="J160" s="236">
        <f t="shared" ref="J160:Q160" ca="1" si="38">J154+J159</f>
        <v>-758185.37657967955</v>
      </c>
      <c r="K160" s="236">
        <f ca="1">K154+K159</f>
        <v>-507797.34727902524</v>
      </c>
      <c r="L160" s="236">
        <f t="shared" ca="1" si="38"/>
        <v>-420828.41270276532</v>
      </c>
      <c r="M160" s="236">
        <f t="shared" ca="1" si="38"/>
        <v>-387300.53288887814</v>
      </c>
      <c r="N160" s="236">
        <f t="shared" ca="1" si="38"/>
        <v>-88270.611724562012</v>
      </c>
      <c r="O160" s="236">
        <f t="shared" ca="1" si="38"/>
        <v>209212.62585402839</v>
      </c>
      <c r="P160" s="236">
        <f t="shared" ca="1" si="38"/>
        <v>547596.1184616643</v>
      </c>
      <c r="Q160" s="236">
        <f t="shared" ca="1" si="38"/>
        <v>896329.91906183586</v>
      </c>
      <c r="R160" s="219"/>
    </row>
    <row r="161" spans="1:20" s="12" customFormat="1" ht="14.25" customHeight="1" x14ac:dyDescent="0.25">
      <c r="A161" s="229" t="s">
        <v>217</v>
      </c>
      <c r="B161" s="234"/>
      <c r="C161" s="234" t="s">
        <v>138</v>
      </c>
      <c r="D161" s="238"/>
      <c r="E161" s="238"/>
      <c r="F161" s="238"/>
      <c r="G161" s="238"/>
      <c r="H161" s="253">
        <f t="shared" ref="H161:Q161" ca="1" si="39">H160*$B$82-H63</f>
        <v>-308925.46955974447</v>
      </c>
      <c r="I161" s="253">
        <f t="shared" ca="1" si="39"/>
        <v>-250184.64865447336</v>
      </c>
      <c r="J161" s="253">
        <f t="shared" ca="1" si="39"/>
        <v>-189546.34414491989</v>
      </c>
      <c r="K161" s="253">
        <f t="shared" ca="1" si="39"/>
        <v>-126949.33681975631</v>
      </c>
      <c r="L161" s="253">
        <f t="shared" ca="1" si="39"/>
        <v>-105207.10317569133</v>
      </c>
      <c r="M161" s="253">
        <f t="shared" ca="1" si="39"/>
        <v>-96825.133222219534</v>
      </c>
      <c r="N161" s="253">
        <f t="shared" ca="1" si="39"/>
        <v>-22067.652931140503</v>
      </c>
      <c r="O161" s="253">
        <f t="shared" ca="1" si="39"/>
        <v>52303.156463507097</v>
      </c>
      <c r="P161" s="253">
        <f t="shared" ca="1" si="39"/>
        <v>136899.02961541608</v>
      </c>
      <c r="Q161" s="253">
        <f t="shared" ca="1" si="39"/>
        <v>224082.47976545896</v>
      </c>
    </row>
    <row r="162" spans="1:20" s="12" customFormat="1" ht="14.25" customHeight="1" x14ac:dyDescent="0.25">
      <c r="A162" s="183"/>
      <c r="B162" s="184"/>
      <c r="G162" s="183"/>
      <c r="H162" s="236"/>
      <c r="I162" s="236"/>
      <c r="J162" s="236"/>
      <c r="K162" s="236"/>
      <c r="L162" s="236"/>
      <c r="M162" s="236"/>
      <c r="N162" s="236"/>
      <c r="O162" s="236"/>
      <c r="P162" s="236"/>
      <c r="Q162" s="236"/>
    </row>
    <row r="163" spans="1:20" s="12" customFormat="1" ht="14.25" customHeight="1" x14ac:dyDescent="0.25">
      <c r="A163" s="90" t="s">
        <v>218</v>
      </c>
      <c r="B163" s="32"/>
      <c r="C163" s="132" t="s">
        <v>159</v>
      </c>
      <c r="T163" s="239"/>
    </row>
    <row r="164" spans="1:20" s="12" customFormat="1" ht="14.25" customHeight="1" x14ac:dyDescent="0.25">
      <c r="A164" s="229" t="s">
        <v>219</v>
      </c>
      <c r="B164" s="229"/>
      <c r="C164" s="229"/>
      <c r="D164" s="229"/>
      <c r="E164" s="229"/>
      <c r="F164" s="229"/>
      <c r="G164" s="229"/>
      <c r="H164" s="229"/>
      <c r="I164" s="229"/>
      <c r="J164" s="229"/>
      <c r="K164" s="229"/>
      <c r="L164" s="229"/>
      <c r="M164" s="229"/>
      <c r="N164" s="229"/>
      <c r="O164" s="229"/>
      <c r="P164" s="229"/>
      <c r="Q164" s="229"/>
      <c r="T164" s="239"/>
    </row>
    <row r="165" spans="1:20" s="12" customFormat="1" ht="14.25" customHeight="1" x14ac:dyDescent="0.25">
      <c r="A165" s="183" t="s">
        <v>220</v>
      </c>
      <c r="B165" s="184"/>
      <c r="C165" s="12" t="s">
        <v>138</v>
      </c>
      <c r="D165" s="186">
        <f t="shared" ref="D165:Q165" si="40">D147+D154-D161</f>
        <v>0</v>
      </c>
      <c r="E165" s="186">
        <f t="shared" si="40"/>
        <v>0</v>
      </c>
      <c r="F165" s="186">
        <f t="shared" si="40"/>
        <v>0</v>
      </c>
      <c r="G165" s="186">
        <f t="shared" si="40"/>
        <v>-6000000</v>
      </c>
      <c r="H165" s="186">
        <f t="shared" ca="1" si="40"/>
        <v>-326776.4086792334</v>
      </c>
      <c r="I165" s="186">
        <f t="shared" ca="1" si="40"/>
        <v>-150553.94596342009</v>
      </c>
      <c r="J165" s="186">
        <f t="shared" ca="1" si="40"/>
        <v>31360.967565240338</v>
      </c>
      <c r="K165" s="186">
        <f t="shared" ca="1" si="40"/>
        <v>219151.98954073153</v>
      </c>
      <c r="L165" s="186">
        <f t="shared" ca="1" si="40"/>
        <v>284378.69047292601</v>
      </c>
      <c r="M165" s="186">
        <f t="shared" ca="1" si="40"/>
        <v>309524.6003333414</v>
      </c>
      <c r="N165" s="186">
        <f t="shared" ca="1" si="40"/>
        <v>533797.04120657896</v>
      </c>
      <c r="O165" s="186">
        <f t="shared" ca="1" si="40"/>
        <v>756909.46939052176</v>
      </c>
      <c r="P165" s="186">
        <f t="shared" ca="1" si="40"/>
        <v>1010697.0888462482</v>
      </c>
      <c r="Q165" s="186">
        <f t="shared" ca="1" si="40"/>
        <v>1272247.4392963769</v>
      </c>
    </row>
    <row r="166" spans="1:20" s="12" customFormat="1" ht="14.25" customHeight="1" x14ac:dyDescent="0.25">
      <c r="A166" s="183" t="s">
        <v>221</v>
      </c>
      <c r="B166" s="183"/>
      <c r="C166" s="12" t="s">
        <v>138</v>
      </c>
      <c r="D166" s="186">
        <f>D165</f>
        <v>0</v>
      </c>
      <c r="E166" s="186">
        <f>E165</f>
        <v>0</v>
      </c>
      <c r="F166" s="186">
        <f>F165</f>
        <v>0</v>
      </c>
      <c r="G166" s="186">
        <f>G165</f>
        <v>-6000000</v>
      </c>
      <c r="H166" s="186">
        <f t="shared" ref="H166:Q166" ca="1" si="41">H165+H87</f>
        <v>1301520.2653687666</v>
      </c>
      <c r="I166" s="186">
        <f t="shared" ca="1" si="41"/>
        <v>1264638.6038723299</v>
      </c>
      <c r="J166" s="186">
        <f t="shared" ca="1" si="41"/>
        <v>1193070.719658358</v>
      </c>
      <c r="K166" s="186">
        <f t="shared" ca="1" si="41"/>
        <v>1130473.7123331954</v>
      </c>
      <c r="L166" s="186">
        <f t="shared" ca="1" si="41"/>
        <v>908731.4786891304</v>
      </c>
      <c r="M166" s="186">
        <f t="shared" ca="1" si="41"/>
        <v>900349.5087356586</v>
      </c>
      <c r="N166" s="186">
        <f t="shared" ca="1" si="41"/>
        <v>825592.0284445791</v>
      </c>
      <c r="O166" s="186">
        <f t="shared" ca="1" si="41"/>
        <v>751221.2190499315</v>
      </c>
      <c r="P166" s="186">
        <f t="shared" ca="1" si="41"/>
        <v>673972.17549802235</v>
      </c>
      <c r="Q166" s="186">
        <f t="shared" ca="1" si="41"/>
        <v>674950.68054797966</v>
      </c>
      <c r="R166" s="240"/>
      <c r="S166" s="183"/>
      <c r="T166" s="183"/>
    </row>
    <row r="167" spans="1:20" s="12" customFormat="1" ht="14.25" customHeight="1" x14ac:dyDescent="0.25">
      <c r="A167" s="183" t="s">
        <v>222</v>
      </c>
      <c r="B167" s="184"/>
      <c r="C167" s="12" t="s">
        <v>138</v>
      </c>
      <c r="G167" s="186"/>
      <c r="H167" s="186"/>
      <c r="I167" s="186"/>
      <c r="J167" s="186"/>
      <c r="K167" s="186"/>
      <c r="L167" s="186"/>
      <c r="M167" s="186"/>
      <c r="N167" s="186"/>
      <c r="O167" s="186"/>
      <c r="P167" s="186"/>
      <c r="Q167" s="186"/>
      <c r="R167" s="219"/>
      <c r="S167" s="183"/>
      <c r="T167" s="183"/>
    </row>
    <row r="168" spans="1:20" s="12" customFormat="1" ht="14.25" customHeight="1" x14ac:dyDescent="0.25">
      <c r="A168" s="90"/>
      <c r="B168" s="32"/>
      <c r="R168" s="240"/>
    </row>
    <row r="169" spans="1:20" s="12" customFormat="1" ht="14.25" customHeight="1" x14ac:dyDescent="0.25">
      <c r="A169" s="90" t="s">
        <v>223</v>
      </c>
      <c r="B169" s="32"/>
      <c r="C169" s="132" t="s">
        <v>159</v>
      </c>
      <c r="D169" s="175"/>
      <c r="E169" s="175"/>
      <c r="F169" s="175"/>
      <c r="G169" s="175"/>
      <c r="H169" s="175"/>
      <c r="I169" s="175"/>
      <c r="J169" s="175"/>
      <c r="K169" s="175"/>
      <c r="L169" s="175"/>
      <c r="M169" s="175"/>
      <c r="N169" s="175"/>
      <c r="O169" s="175"/>
      <c r="P169" s="175"/>
      <c r="Q169" s="175"/>
      <c r="R169" s="240"/>
    </row>
    <row r="170" spans="1:20" s="12" customFormat="1" ht="14.25" customHeight="1" x14ac:dyDescent="0.25">
      <c r="A170" s="229" t="s">
        <v>224</v>
      </c>
      <c r="B170" s="229"/>
      <c r="C170" s="230"/>
      <c r="D170" s="230"/>
      <c r="E170" s="230"/>
      <c r="F170" s="230"/>
      <c r="G170" s="230"/>
      <c r="H170" s="230"/>
      <c r="I170" s="230"/>
      <c r="J170" s="230"/>
      <c r="K170" s="230"/>
      <c r="L170" s="230"/>
      <c r="M170" s="230"/>
      <c r="N170" s="230"/>
      <c r="O170" s="230"/>
      <c r="P170" s="230"/>
      <c r="Q170" s="230"/>
      <c r="R170" s="241"/>
    </row>
    <row r="171" spans="1:20" s="12" customFormat="1" ht="14.25" customHeight="1" x14ac:dyDescent="0.25">
      <c r="A171" s="183" t="s">
        <v>225</v>
      </c>
      <c r="B171" s="177"/>
      <c r="C171" s="185"/>
      <c r="D171" s="242">
        <f t="shared" ref="D171:P171" si="42">E171*(1+E83)</f>
        <v>2.5684363606989304</v>
      </c>
      <c r="E171" s="242">
        <f t="shared" si="42"/>
        <v>2.3886681793558346</v>
      </c>
      <c r="F171" s="242">
        <f t="shared" si="42"/>
        <v>2.2214822054280745</v>
      </c>
      <c r="G171" s="242">
        <f t="shared" si="42"/>
        <v>2.0659977939524552</v>
      </c>
      <c r="H171" s="242">
        <f t="shared" si="42"/>
        <v>1.9213959374452476</v>
      </c>
      <c r="I171" s="242">
        <f t="shared" si="42"/>
        <v>1.7869149518153167</v>
      </c>
      <c r="J171" s="242">
        <f t="shared" si="42"/>
        <v>1.661846464225766</v>
      </c>
      <c r="K171" s="242">
        <f t="shared" si="42"/>
        <v>1.5455316817703331</v>
      </c>
      <c r="L171" s="242">
        <f t="shared" si="42"/>
        <v>1.4373579213099481</v>
      </c>
      <c r="M171" s="242">
        <f t="shared" si="42"/>
        <v>1.3367553821905176</v>
      </c>
      <c r="N171" s="242">
        <f t="shared" si="42"/>
        <v>1.2431941448423625</v>
      </c>
      <c r="O171" s="242">
        <f t="shared" si="42"/>
        <v>1.1561813794515623</v>
      </c>
      <c r="P171" s="242">
        <f t="shared" si="42"/>
        <v>1.0752587499999999</v>
      </c>
      <c r="Q171" s="185">
        <f>1</f>
        <v>1</v>
      </c>
      <c r="R171" s="241"/>
    </row>
    <row r="172" spans="1:20" s="12" customFormat="1" ht="14.25" customHeight="1" x14ac:dyDescent="0.25">
      <c r="A172" s="183" t="s">
        <v>226</v>
      </c>
      <c r="B172" s="183"/>
      <c r="C172" s="12" t="s">
        <v>138</v>
      </c>
      <c r="D172" s="243">
        <f t="shared" ref="D172:Q172" si="43">D166*D171</f>
        <v>0</v>
      </c>
      <c r="E172" s="243">
        <f t="shared" si="43"/>
        <v>0</v>
      </c>
      <c r="F172" s="243">
        <f t="shared" si="43"/>
        <v>0</v>
      </c>
      <c r="G172" s="243">
        <f t="shared" si="43"/>
        <v>-12395986.763714731</v>
      </c>
      <c r="H172" s="243">
        <f t="shared" ca="1" si="43"/>
        <v>2500735.7503822087</v>
      </c>
      <c r="I172" s="243">
        <f t="shared" ca="1" si="43"/>
        <v>2259801.6299023139</v>
      </c>
      <c r="J172" s="243">
        <f t="shared" ca="1" si="43"/>
        <v>1982700.3570355324</v>
      </c>
      <c r="K172" s="243">
        <f t="shared" ca="1" si="43"/>
        <v>1747182.9378194751</v>
      </c>
      <c r="L172" s="243">
        <f t="shared" ca="1" si="43"/>
        <v>1306172.3892375238</v>
      </c>
      <c r="M172" s="243">
        <f t="shared" ca="1" si="43"/>
        <v>1203547.0516549801</v>
      </c>
      <c r="N172" s="243">
        <f t="shared" ca="1" si="43"/>
        <v>1026371.1757908299</v>
      </c>
      <c r="O172" s="243">
        <f t="shared" ca="1" si="43"/>
        <v>868547.98531443404</v>
      </c>
      <c r="P172" s="243">
        <f t="shared" ca="1" si="43"/>
        <v>724694.47896078404</v>
      </c>
      <c r="Q172" s="243">
        <f t="shared" ca="1" si="43"/>
        <v>674950.68054797966</v>
      </c>
      <c r="R172" s="241"/>
      <c r="S172" s="183"/>
      <c r="T172" s="183"/>
    </row>
    <row r="173" spans="1:20" s="12" customFormat="1" ht="14.25" customHeight="1" x14ac:dyDescent="0.25">
      <c r="A173" s="183" t="s">
        <v>227</v>
      </c>
      <c r="B173" s="183"/>
      <c r="C173" s="12" t="s">
        <v>138</v>
      </c>
      <c r="G173" s="243"/>
      <c r="H173" s="243"/>
      <c r="I173" s="243"/>
      <c r="J173" s="243"/>
      <c r="K173" s="243"/>
      <c r="L173" s="243"/>
      <c r="M173" s="243"/>
      <c r="N173" s="243"/>
      <c r="O173" s="243"/>
      <c r="P173" s="243"/>
      <c r="Q173" s="243">
        <f ca="1">SUM(D172:Q172)</f>
        <v>1898717.6729313326</v>
      </c>
      <c r="R173" s="208"/>
      <c r="S173" s="244"/>
      <c r="T173" s="245"/>
    </row>
    <row r="174" spans="1:20" s="12" customFormat="1" ht="14.25" customHeight="1" x14ac:dyDescent="0.25">
      <c r="A174" s="183" t="s">
        <v>228</v>
      </c>
      <c r="B174" s="183"/>
      <c r="C174" s="12" t="s">
        <v>138</v>
      </c>
      <c r="G174" s="243"/>
      <c r="H174" s="243"/>
      <c r="I174" s="243"/>
      <c r="J174" s="243"/>
      <c r="K174" s="243"/>
      <c r="L174" s="243"/>
      <c r="M174" s="243"/>
      <c r="N174" s="243"/>
      <c r="O174" s="243"/>
      <c r="P174" s="243"/>
      <c r="Q174" s="243">
        <f>0</f>
        <v>0</v>
      </c>
      <c r="R174" s="219"/>
      <c r="S174" s="244"/>
      <c r="T174" s="245"/>
    </row>
    <row r="175" spans="1:20" s="12" customFormat="1" ht="14.25" customHeight="1" x14ac:dyDescent="0.25">
      <c r="A175" s="183" t="s">
        <v>229</v>
      </c>
      <c r="B175" s="183"/>
      <c r="C175" s="12" t="s">
        <v>138</v>
      </c>
      <c r="G175" s="243"/>
      <c r="H175" s="243"/>
      <c r="I175" s="243"/>
      <c r="J175" s="243"/>
      <c r="K175" s="243"/>
      <c r="L175" s="243"/>
      <c r="M175" s="243"/>
      <c r="N175" s="243"/>
      <c r="O175" s="243"/>
      <c r="P175" s="243"/>
      <c r="Q175" s="243">
        <f ca="1">Q173+Q174</f>
        <v>1898717.6729313326</v>
      </c>
      <c r="R175" s="207"/>
      <c r="S175" s="244"/>
      <c r="T175" s="245"/>
    </row>
    <row r="176" spans="1:20" s="12" customFormat="1" ht="14.25" customHeight="1" x14ac:dyDescent="0.25">
      <c r="A176" s="12" t="s">
        <v>230</v>
      </c>
      <c r="B176" s="32"/>
      <c r="C176" s="12" t="s">
        <v>138</v>
      </c>
      <c r="G176" s="218"/>
      <c r="H176" s="218">
        <f ca="1">IF($Q$175&gt;0,$Q$175/H171-NPV(H83,I87:$R$87),0)</f>
        <v>-2629960.6441492587</v>
      </c>
      <c r="I176" s="218">
        <f ca="1">IF($Q$175&gt;0,$Q$175/I171-NPV(I83,J87:$R$87),0)</f>
        <v>-1412695.6449413756</v>
      </c>
      <c r="J176" s="218">
        <f ca="1">IF($Q$175&gt;0,$Q$175/J171-NPV(J83,K87:$R$87),0)</f>
        <v>-357303.60121698957</v>
      </c>
      <c r="K176" s="218">
        <f ca="1">IF($Q$175&gt;0,$Q$175/K171-NPV(K83,L87:$R$87),0)</f>
        <v>527127.8991773848</v>
      </c>
      <c r="L176" s="218">
        <f ca="1">IF($Q$175&gt;0,$Q$175/L171-NPV(L83,M87:$R$87),0)</f>
        <v>1191151.6741758052</v>
      </c>
      <c r="M176" s="218">
        <f ca="1">IF($Q$175&gt;0,$Q$175/M171-NPV(M83,N87:$R$87),0)</f>
        <v>1871621.1686370007</v>
      </c>
      <c r="N176" s="218">
        <f ca="1">IF($Q$175&gt;0,$Q$175/N171-NPV(N83,O87:$R$87),0)</f>
        <v>2304272.0255001611</v>
      </c>
      <c r="O176" s="218">
        <f ca="1">IF($Q$175&gt;0,$Q$175/O171-NPV(O83,P87:$R$87),0)</f>
        <v>2472000.4074586807</v>
      </c>
      <c r="P176" s="218">
        <f ca="1">IF($Q$175&gt;0,$Q$175/P171-NPV(P83,Q87:$R$87),0)</f>
        <v>2321315.1547752852</v>
      </c>
      <c r="Q176" s="218">
        <f ca="1">IF($Q$175&gt;0,$Q$175/Q171-NPV(Q83,R87:$R$87),0)</f>
        <v>1898717.6729313326</v>
      </c>
      <c r="R176" s="207"/>
      <c r="S176" s="208"/>
    </row>
    <row r="177" spans="1:20" s="12" customFormat="1" ht="14.25" customHeight="1" x14ac:dyDescent="0.25">
      <c r="A177" s="183"/>
      <c r="B177" s="183"/>
      <c r="D177" s="218"/>
      <c r="E177" s="218"/>
      <c r="F177" s="218"/>
      <c r="G177" s="218"/>
      <c r="H177" s="218"/>
      <c r="I177" s="218"/>
      <c r="J177" s="218"/>
      <c r="K177" s="218"/>
      <c r="L177" s="218"/>
      <c r="M177" s="218"/>
      <c r="N177" s="218"/>
      <c r="O177" s="218"/>
      <c r="P177" s="218"/>
      <c r="Q177" s="218"/>
      <c r="R177" s="241"/>
      <c r="S177" s="183"/>
      <c r="T177" s="183"/>
    </row>
    <row r="178" spans="1:20" s="12" customFormat="1" ht="14.25" customHeight="1" x14ac:dyDescent="0.25">
      <c r="A178" s="229" t="s">
        <v>231</v>
      </c>
      <c r="B178" s="229"/>
      <c r="C178" s="230"/>
      <c r="D178" s="230"/>
      <c r="E178" s="230"/>
      <c r="F178" s="230"/>
      <c r="G178" s="230"/>
      <c r="H178" s="230"/>
      <c r="I178" s="230"/>
      <c r="J178" s="230"/>
      <c r="K178" s="230"/>
      <c r="L178" s="230"/>
      <c r="M178" s="230"/>
      <c r="N178" s="230"/>
      <c r="O178" s="230"/>
      <c r="P178" s="230"/>
      <c r="Q178" s="230"/>
    </row>
    <row r="179" spans="1:20" s="12" customFormat="1" ht="14.25" customHeight="1" x14ac:dyDescent="0.25">
      <c r="A179" s="179" t="s">
        <v>232</v>
      </c>
      <c r="B179" s="179"/>
      <c r="C179" s="179" t="s">
        <v>138</v>
      </c>
      <c r="D179" s="179"/>
      <c r="E179" s="179"/>
      <c r="F179" s="179"/>
      <c r="G179" s="179"/>
      <c r="H179" s="246">
        <f t="shared" ref="H179:Q179" ca="1" si="44">IF(H176&gt;0,IF(H176&gt;=H87,IF(H87&gt;0,H87,0),H176),0)</f>
        <v>0</v>
      </c>
      <c r="I179" s="246">
        <f t="shared" ca="1" si="44"/>
        <v>0</v>
      </c>
      <c r="J179" s="246">
        <f t="shared" ca="1" si="44"/>
        <v>0</v>
      </c>
      <c r="K179" s="246">
        <f t="shared" ca="1" si="44"/>
        <v>527127.8991773848</v>
      </c>
      <c r="L179" s="246">
        <f t="shared" ca="1" si="44"/>
        <v>624352.78821620438</v>
      </c>
      <c r="M179" s="246">
        <f t="shared" ca="1" si="44"/>
        <v>590824.9084023172</v>
      </c>
      <c r="N179" s="246">
        <f t="shared" ca="1" si="44"/>
        <v>291794.98723800015</v>
      </c>
      <c r="O179" s="246">
        <f t="shared" ca="1" si="44"/>
        <v>0</v>
      </c>
      <c r="P179" s="246">
        <f t="shared" ca="1" si="44"/>
        <v>0</v>
      </c>
      <c r="Q179" s="246">
        <f t="shared" ca="1" si="44"/>
        <v>0</v>
      </c>
      <c r="R179" s="176"/>
    </row>
    <row r="180" spans="1:20" s="12" customFormat="1" ht="14.25" customHeight="1" x14ac:dyDescent="0.25">
      <c r="A180" s="12" t="s">
        <v>233</v>
      </c>
      <c r="B180" s="183"/>
      <c r="C180" s="12" t="s">
        <v>138</v>
      </c>
      <c r="G180" s="218"/>
      <c r="H180" s="197">
        <f t="shared" ref="H180:Q180" ca="1" si="45">H179+G180*(1+H84)</f>
        <v>0</v>
      </c>
      <c r="I180" s="197">
        <f t="shared" ca="1" si="45"/>
        <v>0</v>
      </c>
      <c r="J180" s="197">
        <f t="shared" ca="1" si="45"/>
        <v>0</v>
      </c>
      <c r="K180" s="197">
        <f t="shared" ca="1" si="45"/>
        <v>527127.8991773848</v>
      </c>
      <c r="L180" s="197">
        <f t="shared" ca="1" si="45"/>
        <v>1174937.878906983</v>
      </c>
      <c r="M180" s="197">
        <f t="shared" ca="1" si="45"/>
        <v>1818047.5229206609</v>
      </c>
      <c r="N180" s="197">
        <f t="shared" ca="1" si="45"/>
        <v>2190745.6249286304</v>
      </c>
      <c r="O180" s="197">
        <f t="shared" ca="1" si="45"/>
        <v>2288233.8052379545</v>
      </c>
      <c r="P180" s="197">
        <f t="shared" ca="1" si="45"/>
        <v>2390060.2095710435</v>
      </c>
      <c r="Q180" s="197">
        <f t="shared" ca="1" si="45"/>
        <v>2496417.8888969547</v>
      </c>
      <c r="R180" s="219"/>
      <c r="S180" s="208"/>
    </row>
    <row r="181" spans="1:20" s="12" customFormat="1" ht="14.25" customHeight="1" x14ac:dyDescent="0.25">
      <c r="B181" s="183"/>
      <c r="C181" s="175"/>
      <c r="D181" s="175"/>
      <c r="E181" s="175"/>
      <c r="F181" s="175"/>
      <c r="G181" s="176"/>
      <c r="H181" s="176"/>
      <c r="I181" s="176"/>
      <c r="J181" s="176"/>
      <c r="K181" s="176"/>
      <c r="L181" s="176"/>
      <c r="M181" s="176"/>
      <c r="N181" s="176"/>
      <c r="O181" s="176"/>
      <c r="P181" s="176"/>
      <c r="Q181" s="176"/>
      <c r="R181" s="207"/>
      <c r="S181" s="208"/>
    </row>
    <row r="182" spans="1:20" s="12" customFormat="1" ht="14.25" customHeight="1" x14ac:dyDescent="0.25">
      <c r="B182" s="183"/>
      <c r="C182" s="175"/>
      <c r="D182" s="175"/>
      <c r="E182" s="175"/>
      <c r="F182" s="175"/>
      <c r="G182" s="176"/>
      <c r="H182" s="176"/>
      <c r="I182" s="176"/>
      <c r="J182" s="176"/>
      <c r="K182" s="176"/>
      <c r="L182" s="176"/>
      <c r="M182" s="176"/>
      <c r="N182" s="176"/>
      <c r="O182" s="176"/>
      <c r="P182" s="176"/>
      <c r="Q182" s="176"/>
      <c r="R182" s="207"/>
      <c r="S182" s="208"/>
    </row>
    <row r="183" spans="1:20" s="183" customFormat="1" ht="21" x14ac:dyDescent="0.35">
      <c r="A183" s="209" t="s">
        <v>234</v>
      </c>
      <c r="B183" s="210">
        <f ca="1">IF(Q180&gt;0,Q180,0)</f>
        <v>2496417.8888969547</v>
      </c>
      <c r="D183" s="247" t="s">
        <v>235</v>
      </c>
      <c r="E183" s="248"/>
      <c r="F183" s="248"/>
      <c r="H183" s="186"/>
      <c r="I183" s="186"/>
      <c r="J183" s="186"/>
      <c r="K183" s="186"/>
      <c r="L183" s="186"/>
      <c r="M183" s="186"/>
      <c r="N183" s="186"/>
      <c r="O183" s="186"/>
      <c r="P183" s="186"/>
      <c r="Q183" s="186"/>
      <c r="R183" s="202"/>
    </row>
    <row r="184" spans="1:20" s="12" customFormat="1" ht="18.600000000000001" customHeight="1" x14ac:dyDescent="0.25">
      <c r="R184" s="207"/>
    </row>
    <row r="185" spans="1:20" s="12" customFormat="1" ht="18.600000000000001" customHeight="1" x14ac:dyDescent="0.25">
      <c r="B185" s="32"/>
    </row>
    <row r="186" spans="1:20" s="12" customFormat="1" ht="14.25" customHeight="1" x14ac:dyDescent="0.25">
      <c r="B186" s="32"/>
    </row>
    <row r="187" spans="1:20" s="12" customFormat="1" ht="14.25" customHeight="1" x14ac:dyDescent="0.25">
      <c r="B187" s="32"/>
    </row>
    <row r="188" spans="1:20" s="12" customFormat="1" ht="14.25" customHeight="1" x14ac:dyDescent="0.25">
      <c r="A188" s="90" t="s">
        <v>236</v>
      </c>
      <c r="B188" s="32"/>
      <c r="D188" s="249">
        <v>-4</v>
      </c>
      <c r="E188" s="249">
        <v>-3</v>
      </c>
      <c r="F188" s="249">
        <v>-2</v>
      </c>
      <c r="G188" s="249">
        <v>-1</v>
      </c>
      <c r="H188" s="250">
        <v>1</v>
      </c>
      <c r="I188" s="250">
        <v>2</v>
      </c>
      <c r="J188" s="250">
        <v>3</v>
      </c>
      <c r="K188" s="250">
        <v>4</v>
      </c>
      <c r="L188" s="250">
        <v>5</v>
      </c>
      <c r="M188" s="250">
        <v>6</v>
      </c>
      <c r="N188" s="250">
        <v>7</v>
      </c>
      <c r="O188" s="250">
        <v>8</v>
      </c>
      <c r="P188" s="250">
        <v>9</v>
      </c>
      <c r="Q188" s="250">
        <v>10</v>
      </c>
    </row>
    <row r="189" spans="1:20" s="12" customFormat="1" ht="14.25" customHeight="1" x14ac:dyDescent="0.35">
      <c r="A189" s="12" t="s">
        <v>61</v>
      </c>
      <c r="B189" s="183" t="s">
        <v>189</v>
      </c>
      <c r="H189" s="251">
        <f>$B$11</f>
        <v>444.72</v>
      </c>
      <c r="I189" s="251">
        <f t="shared" ref="I189:Q189" si="46">$B$11</f>
        <v>444.72</v>
      </c>
      <c r="J189" s="251">
        <f t="shared" si="46"/>
        <v>444.72</v>
      </c>
      <c r="K189" s="251">
        <f t="shared" si="46"/>
        <v>444.72</v>
      </c>
      <c r="L189" s="251">
        <f t="shared" si="46"/>
        <v>444.72</v>
      </c>
      <c r="M189" s="251">
        <f t="shared" si="46"/>
        <v>444.72</v>
      </c>
      <c r="N189" s="251">
        <f t="shared" si="46"/>
        <v>444.72</v>
      </c>
      <c r="O189" s="251">
        <f t="shared" si="46"/>
        <v>444.72</v>
      </c>
      <c r="P189" s="251">
        <f t="shared" si="46"/>
        <v>444.72</v>
      </c>
      <c r="Q189" s="251">
        <f t="shared" si="46"/>
        <v>444.72</v>
      </c>
    </row>
    <row r="190" spans="1:20" s="12" customFormat="1" ht="14.25" customHeight="1" x14ac:dyDescent="0.35">
      <c r="A190" s="12" t="s">
        <v>237</v>
      </c>
      <c r="B190" s="183" t="s">
        <v>189</v>
      </c>
      <c r="H190" s="251">
        <f>$B$12</f>
        <v>425</v>
      </c>
      <c r="I190" s="251">
        <f t="shared" ref="I190:Q190" si="47">$B$12</f>
        <v>425</v>
      </c>
      <c r="J190" s="251">
        <f t="shared" si="47"/>
        <v>425</v>
      </c>
      <c r="K190" s="251">
        <f t="shared" si="47"/>
        <v>425</v>
      </c>
      <c r="L190" s="251">
        <f t="shared" si="47"/>
        <v>425</v>
      </c>
      <c r="M190" s="251">
        <f t="shared" si="47"/>
        <v>425</v>
      </c>
      <c r="N190" s="251">
        <f t="shared" si="47"/>
        <v>425</v>
      </c>
      <c r="O190" s="251">
        <f t="shared" si="47"/>
        <v>425</v>
      </c>
      <c r="P190" s="251">
        <f t="shared" si="47"/>
        <v>425</v>
      </c>
      <c r="Q190" s="251">
        <f t="shared" si="47"/>
        <v>425</v>
      </c>
    </row>
    <row r="191" spans="1:20" s="12" customFormat="1" ht="14.25" customHeight="1" x14ac:dyDescent="0.35">
      <c r="A191" s="12" t="s">
        <v>158</v>
      </c>
      <c r="B191" s="183" t="s">
        <v>189</v>
      </c>
      <c r="H191" s="251">
        <f t="shared" ref="H191:Q191" si="48">H66</f>
        <v>279.56</v>
      </c>
      <c r="I191" s="251">
        <f t="shared" si="48"/>
        <v>279.56</v>
      </c>
      <c r="J191" s="251">
        <f t="shared" si="48"/>
        <v>279.56</v>
      </c>
      <c r="K191" s="251">
        <f t="shared" si="48"/>
        <v>279.56</v>
      </c>
      <c r="L191" s="251">
        <f t="shared" si="48"/>
        <v>279.56</v>
      </c>
      <c r="M191" s="251">
        <f t="shared" si="48"/>
        <v>279.56</v>
      </c>
      <c r="N191" s="251">
        <f t="shared" si="48"/>
        <v>279.56</v>
      </c>
      <c r="O191" s="251">
        <f t="shared" si="48"/>
        <v>279.56</v>
      </c>
      <c r="P191" s="251">
        <f t="shared" si="48"/>
        <v>279.56</v>
      </c>
      <c r="Q191" s="251">
        <f t="shared" si="48"/>
        <v>279.56</v>
      </c>
    </row>
    <row r="192" spans="1:20" s="12" customFormat="1" ht="14.25" customHeight="1" x14ac:dyDescent="0.35">
      <c r="A192" s="12" t="s">
        <v>192</v>
      </c>
      <c r="B192" s="183" t="s">
        <v>189</v>
      </c>
      <c r="H192" s="251">
        <f t="shared" ref="H192:Q192" ca="1" si="49">H117</f>
        <v>278.5837663089622</v>
      </c>
      <c r="I192" s="251">
        <f t="shared" ca="1" si="49"/>
        <v>298.59453118796705</v>
      </c>
      <c r="J192" s="251">
        <f t="shared" ca="1" si="49"/>
        <v>321.23569891327901</v>
      </c>
      <c r="K192" s="251">
        <f t="shared" ca="1" si="49"/>
        <v>343.60044089297895</v>
      </c>
      <c r="L192" s="251">
        <f t="shared" ca="1" si="49"/>
        <v>369.23260148752973</v>
      </c>
      <c r="M192" s="251">
        <f t="shared" ca="1" si="49"/>
        <v>372.22732285363622</v>
      </c>
      <c r="N192" s="251">
        <f t="shared" ca="1" si="49"/>
        <v>398.9367747780318</v>
      </c>
      <c r="O192" s="251">
        <f t="shared" ca="1" si="49"/>
        <v>425.50807641059583</v>
      </c>
      <c r="P192" s="251">
        <f t="shared" ca="1" si="49"/>
        <v>455.07638115210096</v>
      </c>
      <c r="Q192" s="251">
        <f t="shared" ca="1" si="49"/>
        <v>478.35074496983594</v>
      </c>
    </row>
    <row r="193" spans="1:17" s="12" customFormat="1" ht="14.25" customHeight="1" x14ac:dyDescent="0.35">
      <c r="A193" s="12" t="s">
        <v>174</v>
      </c>
      <c r="B193" s="183" t="s">
        <v>189</v>
      </c>
      <c r="H193" s="251">
        <f t="shared" ref="H193:Q193" si="50">IFERROR(H101*1000/H71,"")</f>
        <v>222.99698773272334</v>
      </c>
      <c r="I193" s="251">
        <f t="shared" si="50"/>
        <v>223.14578135589039</v>
      </c>
      <c r="J193" s="251">
        <f t="shared" si="50"/>
        <v>223.29755085152087</v>
      </c>
      <c r="K193" s="251">
        <f t="shared" si="50"/>
        <v>223.45235573706395</v>
      </c>
      <c r="L193" s="251">
        <f t="shared" si="50"/>
        <v>226.15539118348494</v>
      </c>
      <c r="M193" s="251">
        <f t="shared" si="50"/>
        <v>227.97650115462466</v>
      </c>
      <c r="N193" s="251">
        <f t="shared" si="50"/>
        <v>230.69867263799711</v>
      </c>
      <c r="O193" s="251">
        <f t="shared" si="50"/>
        <v>232.50148752498509</v>
      </c>
      <c r="P193" s="251">
        <f t="shared" si="50"/>
        <v>237.15151727548425</v>
      </c>
      <c r="Q193" s="251">
        <f t="shared" si="50"/>
        <v>241.89454762099425</v>
      </c>
    </row>
    <row r="194" spans="1:17" s="12" customFormat="1" ht="14.25" customHeight="1" x14ac:dyDescent="0.35">
      <c r="A194" s="12" t="s">
        <v>177</v>
      </c>
      <c r="B194" s="183" t="s">
        <v>189</v>
      </c>
      <c r="H194" s="251">
        <f t="shared" ref="H194:Q194" si="51">IFERROR(H104*1000/H71,"")</f>
        <v>114.83872070703977</v>
      </c>
      <c r="I194" s="251">
        <f t="shared" si="51"/>
        <v>122.71337584123677</v>
      </c>
      <c r="J194" s="251">
        <f t="shared" si="51"/>
        <v>130.58803097543381</v>
      </c>
      <c r="K194" s="251">
        <f t="shared" si="51"/>
        <v>138.46268610963079</v>
      </c>
      <c r="L194" s="251">
        <f t="shared" si="51"/>
        <v>146.33734124382784</v>
      </c>
      <c r="M194" s="251">
        <f t="shared" si="51"/>
        <v>154.21199637802482</v>
      </c>
      <c r="N194" s="251">
        <f t="shared" si="51"/>
        <v>162.08665151222183</v>
      </c>
      <c r="O194" s="251">
        <f t="shared" si="51"/>
        <v>169.96130664641885</v>
      </c>
      <c r="P194" s="251">
        <f t="shared" si="51"/>
        <v>177.17974051943278</v>
      </c>
      <c r="Q194" s="251">
        <f t="shared" si="51"/>
        <v>177.17974051943278</v>
      </c>
    </row>
    <row r="195" spans="1:17" s="12" customFormat="1" ht="14.25" customHeight="1" x14ac:dyDescent="0.35">
      <c r="A195" s="12" t="s">
        <v>238</v>
      </c>
      <c r="B195" s="183" t="s">
        <v>189</v>
      </c>
      <c r="H195" s="251">
        <f t="shared" ref="H195:Q195" ca="1" si="52">IFERROR(H109*1000/H71,"")</f>
        <v>-59.251942130800899</v>
      </c>
      <c r="I195" s="251">
        <f t="shared" ca="1" si="52"/>
        <v>-46.288392318122355</v>
      </c>
      <c r="J195" s="251">
        <f t="shared" ca="1" si="52"/>
        <v>-32.649882913675704</v>
      </c>
      <c r="K195" s="251">
        <f t="shared" ca="1" si="52"/>
        <v>-18.314600953715797</v>
      </c>
      <c r="L195" s="251">
        <f t="shared" ca="1" si="52"/>
        <v>-3.2601309397830365</v>
      </c>
      <c r="M195" s="251">
        <f t="shared" ca="1" si="52"/>
        <v>-9.9611746790132596</v>
      </c>
      <c r="N195" s="251">
        <f t="shared" ca="1" si="52"/>
        <v>6.1514506278128076</v>
      </c>
      <c r="O195" s="251">
        <f t="shared" ca="1" si="52"/>
        <v>23.045282239191906</v>
      </c>
      <c r="P195" s="251">
        <f t="shared" ca="1" si="52"/>
        <v>40.745123357183935</v>
      </c>
      <c r="Q195" s="251">
        <f t="shared" ca="1" si="52"/>
        <v>59.276456829408893</v>
      </c>
    </row>
    <row r="196" spans="1:17" s="12" customFormat="1" ht="14.25" customHeight="1" x14ac:dyDescent="0.35">
      <c r="A196" s="12" t="s">
        <v>239</v>
      </c>
      <c r="B196" s="183" t="s">
        <v>189</v>
      </c>
      <c r="H196" s="251">
        <f t="shared" ref="H196:Q196" si="53">IFERROR(H111*1000/H71,"")</f>
        <v>0</v>
      </c>
      <c r="I196" s="251">
        <f t="shared" si="53"/>
        <v>0</v>
      </c>
      <c r="J196" s="251">
        <f t="shared" si="53"/>
        <v>0</v>
      </c>
      <c r="K196" s="251">
        <f t="shared" si="53"/>
        <v>0</v>
      </c>
      <c r="L196" s="251">
        <f t="shared" si="53"/>
        <v>0</v>
      </c>
      <c r="M196" s="251">
        <f t="shared" si="53"/>
        <v>0</v>
      </c>
      <c r="N196" s="251">
        <f t="shared" si="53"/>
        <v>0</v>
      </c>
      <c r="O196" s="251">
        <f t="shared" si="53"/>
        <v>0</v>
      </c>
      <c r="P196" s="251">
        <f t="shared" si="53"/>
        <v>0</v>
      </c>
      <c r="Q196" s="251">
        <f t="shared" si="53"/>
        <v>0</v>
      </c>
    </row>
    <row r="197" spans="1:17" s="12" customFormat="1" ht="14.25" customHeight="1" x14ac:dyDescent="0.35">
      <c r="A197" s="12" t="s">
        <v>240</v>
      </c>
      <c r="B197" s="183" t="s">
        <v>189</v>
      </c>
      <c r="H197" s="251">
        <f t="shared" ref="H197:Q197" si="54">H116</f>
        <v>0</v>
      </c>
      <c r="I197" s="251">
        <f t="shared" ca="1" si="54"/>
        <v>-0.97623369103780533</v>
      </c>
      <c r="J197" s="251">
        <f t="shared" ca="1" si="54"/>
        <v>0</v>
      </c>
      <c r="K197" s="251">
        <f t="shared" ca="1" si="54"/>
        <v>0</v>
      </c>
      <c r="L197" s="251">
        <f t="shared" ca="1" si="54"/>
        <v>0</v>
      </c>
      <c r="M197" s="251">
        <f t="shared" ca="1" si="54"/>
        <v>0</v>
      </c>
      <c r="N197" s="251">
        <f t="shared" ca="1" si="54"/>
        <v>0</v>
      </c>
      <c r="O197" s="251">
        <f t="shared" ca="1" si="54"/>
        <v>0</v>
      </c>
      <c r="P197" s="251">
        <f t="shared" ca="1" si="54"/>
        <v>0</v>
      </c>
      <c r="Q197" s="251">
        <f t="shared" ca="1" si="54"/>
        <v>0</v>
      </c>
    </row>
    <row r="198" spans="1:17" s="12" customFormat="1" ht="14.25" customHeight="1" x14ac:dyDescent="0.35">
      <c r="A198" s="12" t="s">
        <v>197</v>
      </c>
      <c r="B198" s="183" t="s">
        <v>189</v>
      </c>
      <c r="H198" s="251">
        <f t="shared" ref="H198:Q198" ca="1" si="55">IFERROR(H126/H199,"")</f>
        <v>145.44000000000003</v>
      </c>
      <c r="I198" s="251">
        <f t="shared" ca="1" si="55"/>
        <v>126.40546881203298</v>
      </c>
      <c r="J198" s="251">
        <f t="shared" ca="1" si="55"/>
        <v>103.76430108672099</v>
      </c>
      <c r="K198" s="251">
        <f t="shared" ca="1" si="55"/>
        <v>81.399559107021048</v>
      </c>
      <c r="L198" s="251">
        <f t="shared" ca="1" si="55"/>
        <v>55.767398512470308</v>
      </c>
      <c r="M198" s="251">
        <f t="shared" ca="1" si="55"/>
        <v>52.772677146363769</v>
      </c>
      <c r="N198" s="251">
        <f t="shared" ca="1" si="55"/>
        <v>26.063225221968189</v>
      </c>
      <c r="O198" s="251">
        <f t="shared" ca="1" si="55"/>
        <v>-0.50807641059583653</v>
      </c>
      <c r="P198" s="251">
        <f t="shared" ca="1" si="55"/>
        <v>-30.076381152100979</v>
      </c>
      <c r="Q198" s="251">
        <f t="shared" ca="1" si="55"/>
        <v>-53.35074496983593</v>
      </c>
    </row>
    <row r="199" spans="1:17" s="12" customFormat="1" ht="14.25" customHeight="1" x14ac:dyDescent="0.35">
      <c r="A199" s="12" t="s">
        <v>241</v>
      </c>
      <c r="B199" s="32"/>
      <c r="H199" s="218">
        <f t="shared" ref="H199:Q199" si="56">IFERROR(IF($B$7=1,($B$22*$B$23*H31*H71)/1000,($B$22*H24*H31*H71)/1000),"")</f>
        <v>11195.659199999998</v>
      </c>
      <c r="I199" s="218">
        <f t="shared" si="56"/>
        <v>11195.659199999998</v>
      </c>
      <c r="J199" s="218">
        <f t="shared" si="56"/>
        <v>11195.659199999998</v>
      </c>
      <c r="K199" s="218">
        <f t="shared" si="56"/>
        <v>11195.659199999998</v>
      </c>
      <c r="L199" s="218">
        <f t="shared" si="56"/>
        <v>11195.659199999998</v>
      </c>
      <c r="M199" s="218">
        <f t="shared" si="56"/>
        <v>11195.659199999998</v>
      </c>
      <c r="N199" s="218">
        <f t="shared" si="56"/>
        <v>11195.659199999998</v>
      </c>
      <c r="O199" s="218">
        <f t="shared" si="56"/>
        <v>11195.659199999998</v>
      </c>
      <c r="P199" s="218">
        <f t="shared" si="56"/>
        <v>11195.659199999998</v>
      </c>
      <c r="Q199" s="218">
        <f t="shared" si="56"/>
        <v>11195.659199999998</v>
      </c>
    </row>
    <row r="200" spans="1:17" s="12" customFormat="1" ht="14.25" customHeight="1" x14ac:dyDescent="0.25">
      <c r="B200" s="32"/>
    </row>
    <row r="201" spans="1:17" s="12" customFormat="1" ht="14.25" customHeight="1" x14ac:dyDescent="0.25">
      <c r="B201" s="32"/>
      <c r="H201" s="251"/>
      <c r="I201" s="251"/>
    </row>
    <row r="202" spans="1:17" s="12" customFormat="1" ht="14.25" customHeight="1" x14ac:dyDescent="0.25">
      <c r="B202" s="32"/>
    </row>
    <row r="203" spans="1:17" s="12" customFormat="1" ht="14.25" customHeight="1" x14ac:dyDescent="0.25">
      <c r="B203" s="32"/>
    </row>
    <row r="204" spans="1:17" s="12" customFormat="1" ht="14.25" customHeight="1" x14ac:dyDescent="0.25">
      <c r="B204" s="32"/>
    </row>
    <row r="205" spans="1:17" s="12" customFormat="1" ht="14.25" customHeight="1" x14ac:dyDescent="0.25">
      <c r="B205" s="32"/>
    </row>
    <row r="206" spans="1:17" s="12" customFormat="1" ht="14.25" customHeight="1" x14ac:dyDescent="0.25">
      <c r="B206" s="32"/>
    </row>
    <row r="207" spans="1:17" s="12" customFormat="1" ht="14.25" customHeight="1" x14ac:dyDescent="0.25">
      <c r="B207" s="32"/>
    </row>
    <row r="208" spans="1:17" s="12" customFormat="1" ht="14.25" customHeight="1" x14ac:dyDescent="0.25">
      <c r="B208" s="32"/>
    </row>
    <row r="209" spans="2:2" s="12" customFormat="1" ht="14.25" customHeight="1" x14ac:dyDescent="0.25">
      <c r="B209" s="32"/>
    </row>
    <row r="210" spans="2:2" s="12" customFormat="1" ht="14.25" customHeight="1" x14ac:dyDescent="0.25">
      <c r="B210" s="32"/>
    </row>
    <row r="211" spans="2:2" s="12" customFormat="1" ht="14.25" customHeight="1" x14ac:dyDescent="0.25">
      <c r="B211" s="32"/>
    </row>
    <row r="212" spans="2:2" s="12" customFormat="1" ht="14.25" customHeight="1" x14ac:dyDescent="0.25">
      <c r="B212" s="32"/>
    </row>
    <row r="213" spans="2:2" s="12" customFormat="1" ht="14.25" customHeight="1" x14ac:dyDescent="0.25">
      <c r="B213" s="32"/>
    </row>
    <row r="214" spans="2:2" s="12" customFormat="1" ht="14.25" customHeight="1" x14ac:dyDescent="0.25">
      <c r="B214" s="32"/>
    </row>
    <row r="215" spans="2:2" s="12" customFormat="1" ht="14.25" customHeight="1" x14ac:dyDescent="0.25">
      <c r="B215" s="32"/>
    </row>
    <row r="216" spans="2:2" s="12" customFormat="1" ht="14.25" customHeight="1" x14ac:dyDescent="0.25">
      <c r="B216" s="32"/>
    </row>
    <row r="217" spans="2:2" s="12" customFormat="1" ht="14.25" customHeight="1" x14ac:dyDescent="0.25">
      <c r="B217" s="32"/>
    </row>
    <row r="218" spans="2:2" s="12" customFormat="1" ht="14.25" customHeight="1" x14ac:dyDescent="0.25">
      <c r="B218" s="32"/>
    </row>
    <row r="219" spans="2:2" s="12" customFormat="1" ht="14.25" customHeight="1" x14ac:dyDescent="0.25">
      <c r="B219" s="32"/>
    </row>
    <row r="220" spans="2:2" s="12" customFormat="1" ht="14.25" customHeight="1" x14ac:dyDescent="0.25">
      <c r="B220" s="32"/>
    </row>
    <row r="221" spans="2:2" s="12" customFormat="1" ht="14.25" customHeight="1" x14ac:dyDescent="0.25">
      <c r="B221" s="32"/>
    </row>
    <row r="222" spans="2:2" s="12" customFormat="1" ht="14.25" customHeight="1" x14ac:dyDescent="0.25">
      <c r="B222" s="32"/>
    </row>
    <row r="223" spans="2:2" s="12" customFormat="1" ht="14.25" customHeight="1" x14ac:dyDescent="0.25">
      <c r="B223" s="32"/>
    </row>
    <row r="224" spans="2:2" s="12" customFormat="1" ht="14.25" customHeight="1" x14ac:dyDescent="0.25">
      <c r="B224" s="32"/>
    </row>
    <row r="225" spans="2:2" s="12" customFormat="1" ht="14.25" customHeight="1" x14ac:dyDescent="0.25">
      <c r="B225" s="32"/>
    </row>
    <row r="226" spans="2:2" s="12" customFormat="1" ht="14.25" customHeight="1" x14ac:dyDescent="0.25">
      <c r="B226" s="32"/>
    </row>
    <row r="227" spans="2:2" s="12" customFormat="1" ht="14.25" customHeight="1" x14ac:dyDescent="0.25">
      <c r="B227" s="32"/>
    </row>
    <row r="228" spans="2:2" s="12" customFormat="1" ht="14.25" customHeight="1" x14ac:dyDescent="0.25">
      <c r="B228" s="32"/>
    </row>
    <row r="229" spans="2:2" s="12" customFormat="1" ht="14.25" customHeight="1" x14ac:dyDescent="0.25">
      <c r="B229" s="32"/>
    </row>
    <row r="230" spans="2:2" s="12" customFormat="1" ht="14.25" customHeight="1" x14ac:dyDescent="0.25">
      <c r="B230" s="32"/>
    </row>
    <row r="231" spans="2:2" s="12" customFormat="1" ht="14.25" customHeight="1" x14ac:dyDescent="0.25">
      <c r="B231" s="32"/>
    </row>
    <row r="232" spans="2:2" s="12" customFormat="1" ht="14.25" customHeight="1" x14ac:dyDescent="0.25">
      <c r="B232" s="32"/>
    </row>
    <row r="233" spans="2:2" s="12" customFormat="1" ht="14.25" customHeight="1" x14ac:dyDescent="0.25">
      <c r="B233" s="32"/>
    </row>
    <row r="234" spans="2:2" s="12" customFormat="1" ht="14.25" customHeight="1" x14ac:dyDescent="0.25">
      <c r="B234" s="32"/>
    </row>
    <row r="235" spans="2:2" s="12" customFormat="1" ht="14.25" customHeight="1" x14ac:dyDescent="0.25">
      <c r="B235" s="32"/>
    </row>
    <row r="236" spans="2:2" s="12" customFormat="1" ht="14.25" customHeight="1" x14ac:dyDescent="0.25">
      <c r="B236" s="32"/>
    </row>
    <row r="237" spans="2:2" s="12" customFormat="1" ht="14.25" customHeight="1" x14ac:dyDescent="0.25">
      <c r="B237" s="32"/>
    </row>
    <row r="238" spans="2:2" s="12" customFormat="1" ht="14.25" customHeight="1" x14ac:dyDescent="0.25">
      <c r="B238" s="32"/>
    </row>
    <row r="239" spans="2:2" s="12" customFormat="1" ht="14.25" customHeight="1" x14ac:dyDescent="0.25">
      <c r="B239" s="32"/>
    </row>
    <row r="240" spans="2:2" s="12" customFormat="1" ht="14.25" customHeight="1" x14ac:dyDescent="0.25">
      <c r="B240" s="32"/>
    </row>
    <row r="241" spans="2:2" s="12" customFormat="1" ht="14.25" customHeight="1" x14ac:dyDescent="0.25">
      <c r="B241" s="32"/>
    </row>
    <row r="242" spans="2:2" s="12" customFormat="1" ht="14.25" customHeight="1" x14ac:dyDescent="0.25">
      <c r="B242" s="32"/>
    </row>
    <row r="243" spans="2:2" s="12" customFormat="1" ht="14.25" customHeight="1" x14ac:dyDescent="0.25">
      <c r="B243" s="32"/>
    </row>
    <row r="244" spans="2:2" s="12" customFormat="1" ht="14.25" customHeight="1" x14ac:dyDescent="0.25">
      <c r="B244" s="32"/>
    </row>
    <row r="245" spans="2:2" s="12" customFormat="1" ht="14.25" customHeight="1" x14ac:dyDescent="0.25">
      <c r="B245" s="32"/>
    </row>
    <row r="246" spans="2:2" s="12" customFormat="1" ht="14.25" customHeight="1" x14ac:dyDescent="0.25">
      <c r="B246" s="32"/>
    </row>
    <row r="247" spans="2:2" s="12" customFormat="1" ht="14.25" customHeight="1" x14ac:dyDescent="0.25">
      <c r="B247" s="32"/>
    </row>
    <row r="248" spans="2:2" s="12" customFormat="1" ht="14.25" customHeight="1" x14ac:dyDescent="0.25">
      <c r="B248" s="32"/>
    </row>
    <row r="249" spans="2:2" s="12" customFormat="1" ht="14.25" customHeight="1" x14ac:dyDescent="0.25">
      <c r="B249" s="32"/>
    </row>
    <row r="250" spans="2:2" s="12" customFormat="1" ht="14.25" customHeight="1" x14ac:dyDescent="0.25">
      <c r="B250" s="32"/>
    </row>
    <row r="251" spans="2:2" s="12" customFormat="1" ht="14.25" customHeight="1" x14ac:dyDescent="0.25">
      <c r="B251" s="32"/>
    </row>
    <row r="252" spans="2:2" s="12" customFormat="1" ht="14.25" customHeight="1" x14ac:dyDescent="0.25">
      <c r="B252" s="32"/>
    </row>
    <row r="253" spans="2:2" s="12" customFormat="1" ht="14.25" customHeight="1" x14ac:dyDescent="0.25">
      <c r="B253" s="32"/>
    </row>
    <row r="254" spans="2:2" s="12" customFormat="1" ht="14.25" customHeight="1" x14ac:dyDescent="0.25">
      <c r="B254" s="32"/>
    </row>
    <row r="255" spans="2:2" s="12" customFormat="1" ht="14.25" customHeight="1" x14ac:dyDescent="0.25">
      <c r="B255" s="32"/>
    </row>
    <row r="256" spans="2:2" s="12" customFormat="1" ht="14.25" customHeight="1" x14ac:dyDescent="0.25">
      <c r="B256" s="32"/>
    </row>
    <row r="257" spans="2:2" s="12" customFormat="1" ht="14.25" customHeight="1" x14ac:dyDescent="0.25">
      <c r="B257" s="32"/>
    </row>
    <row r="258" spans="2:2" s="12" customFormat="1" ht="14.25" customHeight="1" x14ac:dyDescent="0.25">
      <c r="B258" s="32"/>
    </row>
    <row r="259" spans="2:2" s="12" customFormat="1" ht="14.25" customHeight="1" x14ac:dyDescent="0.25">
      <c r="B259" s="32"/>
    </row>
    <row r="260" spans="2:2" s="12" customFormat="1" ht="14.25" customHeight="1" x14ac:dyDescent="0.25">
      <c r="B260" s="32"/>
    </row>
    <row r="261" spans="2:2" s="12" customFormat="1" ht="14.25" customHeight="1" x14ac:dyDescent="0.25">
      <c r="B261" s="32"/>
    </row>
    <row r="262" spans="2:2" s="12" customFormat="1" ht="14.25" customHeight="1" x14ac:dyDescent="0.25">
      <c r="B262" s="32"/>
    </row>
    <row r="263" spans="2:2" s="12" customFormat="1" ht="14.25" customHeight="1" x14ac:dyDescent="0.25">
      <c r="B263" s="32"/>
    </row>
    <row r="264" spans="2:2" s="12" customFormat="1" ht="14.25" customHeight="1" x14ac:dyDescent="0.25">
      <c r="B264" s="32"/>
    </row>
    <row r="265" spans="2:2" s="12" customFormat="1" ht="14.25" customHeight="1" x14ac:dyDescent="0.25">
      <c r="B265" s="32"/>
    </row>
    <row r="266" spans="2:2" s="12" customFormat="1" ht="14.25" customHeight="1" x14ac:dyDescent="0.25">
      <c r="B266" s="32"/>
    </row>
    <row r="267" spans="2:2" s="12" customFormat="1" ht="14.25" customHeight="1" x14ac:dyDescent="0.25">
      <c r="B267" s="32"/>
    </row>
    <row r="268" spans="2:2" s="12" customFormat="1" ht="14.25" customHeight="1" x14ac:dyDescent="0.25">
      <c r="B268" s="32"/>
    </row>
    <row r="269" spans="2:2" s="12" customFormat="1" ht="14.25" customHeight="1" x14ac:dyDescent="0.25">
      <c r="B269" s="32"/>
    </row>
    <row r="270" spans="2:2" s="12" customFormat="1" ht="14.25" customHeight="1" x14ac:dyDescent="0.25">
      <c r="B270" s="32"/>
    </row>
    <row r="271" spans="2:2" s="12" customFormat="1" ht="14.25" customHeight="1" x14ac:dyDescent="0.25">
      <c r="B271" s="32"/>
    </row>
    <row r="272" spans="2:2" s="12" customFormat="1" ht="14.25" customHeight="1" x14ac:dyDescent="0.25">
      <c r="B272" s="32"/>
    </row>
    <row r="273" spans="2:2" s="12" customFormat="1" ht="14.25" customHeight="1" x14ac:dyDescent="0.25">
      <c r="B273" s="32"/>
    </row>
    <row r="274" spans="2:2" s="12" customFormat="1" ht="14.25" customHeight="1" x14ac:dyDescent="0.25">
      <c r="B274" s="32"/>
    </row>
  </sheetData>
  <sheetProtection algorithmName="SHA-512" hashValue="K4Ox6XUTwPcHVKqesPeicTS4pr5A2BJAuCvsnRNrYdelyDje740QGiIswRPiAAX7oThCr9J/AWpLEDBRt0Jfhw==" saltValue="4cHqPKks9FeCFSF6Ka4XuQ==" spinCount="100000" sheet="1" objects="1" scenarios="1"/>
  <mergeCells count="7">
    <mergeCell ref="A137:Q137"/>
    <mergeCell ref="B6:C6"/>
    <mergeCell ref="B14:N14"/>
    <mergeCell ref="A17:Q17"/>
    <mergeCell ref="H19:Q19"/>
    <mergeCell ref="A87:A88"/>
    <mergeCell ref="A94:Q94"/>
  </mergeCells>
  <conditionalFormatting sqref="B23">
    <cfRule type="expression" dxfId="29" priority="1">
      <formula>$B$7&lt;&gt;1</formula>
    </cfRule>
  </conditionalFormatting>
  <conditionalFormatting sqref="B24">
    <cfRule type="expression" dxfId="28" priority="3">
      <formula>$B$7=1</formula>
    </cfRule>
  </conditionalFormatting>
  <conditionalFormatting sqref="H24:Q24">
    <cfRule type="expression" dxfId="27" priority="2" stopIfTrue="1">
      <formula>$B$7=1</formula>
    </cfRule>
    <cfRule type="expression" dxfId="26" priority="12">
      <formula>H24=$B$24</formula>
    </cfRule>
  </conditionalFormatting>
  <conditionalFormatting sqref="H29:Q29">
    <cfRule type="expression" dxfId="25" priority="13">
      <formula>H29=$B$30</formula>
    </cfRule>
  </conditionalFormatting>
  <conditionalFormatting sqref="H41:Q41">
    <cfRule type="expression" dxfId="22" priority="15">
      <formula>ABS(H41)=ABS(0.04*SUM($D$35:$G$35))</formula>
    </cfRule>
  </conditionalFormatting>
  <conditionalFormatting sqref="H82:Q82">
    <cfRule type="expression" dxfId="16" priority="5">
      <formula>H82=$B$82</formula>
    </cfRule>
  </conditionalFormatting>
  <dataValidations count="8">
    <dataValidation allowBlank="1" showInputMessage="1" showErrorMessage="1" promptTitle="Bepaling jaarlijkse COP" prompt="Voor de berekening van de jaarlijkse steun en het terugvorderingsmechanisme op het einde wordt de COP jaarlijks bepaald op basis van het elektrisch verbruik en de geproduceerde warmte." sqref="H24" xr:uid="{A0A6B4B2-B5FA-4632-A6AF-1DC6E450DDC6}"/>
    <dataValidation type="custom" allowBlank="1" showInputMessage="1" showErrorMessage="1" errorTitle="COP enkel voor WP en MVR" error=" COP waarde is enkel voor warmtepomp en MVR van toepassing." promptTitle="COP bij aanvraag" prompt="De COP bij aanvraag is enkel relevant voor de hoogte van de maximale vastgelegde steun. In dit rekenblad wordt de jaarlijkse COP vooraf ingevuld op basis van deze waarde, maar bij de effectieve berekening van de steun wordt de COP jaarlijks bepaald." sqref="B24" xr:uid="{B6C8754F-0B7B-4480-8E95-280A5094BFF0}">
      <formula1>IF($B$6="E-boiler", FALSE, TRUE)</formula1>
    </dataValidation>
    <dataValidation allowBlank="1" showInputMessage="1" showErrorMessage="1" promptTitle="Bepaling jaarlijkse COP" prompt="Voor de berekening van de jaarlijkse steun en de clawback wordt de COP jaarlijks bepaald op basis van het elektrisch verbruik en de geproduceerde warmte." sqref="I24:Q24" xr:uid="{9E24F051-3518-4B77-A6BF-F0710CF60B4C}"/>
    <dataValidation type="custom" allowBlank="1" showInputMessage="1" showErrorMessage="1" errorTitle="COP enkel voor WP en MVR" error=" COP waarde is enkel voor warmtepomp en MVR van toepassing." sqref="B24" xr:uid="{F64726F6-FB17-4424-8E1F-0EF83F8303B7}">
      <formula1>IF($B$6="E-boiler", FALSE, TRUE)</formula1>
    </dataValidation>
    <dataValidation allowBlank="1" showErrorMessage="1" sqref="B7" xr:uid="{EDBCA95A-B057-43CA-AD53-EE14C2E03785}"/>
    <dataValidation type="list" allowBlank="1" showInputMessage="1" showErrorMessage="1" sqref="A130" xr:uid="{62F65810-ABD4-46FA-B9CA-BCC87100B010}">
      <formula1>INDIRECT("tech_param[Technologie]")</formula1>
    </dataValidation>
    <dataValidation errorStyle="warning" allowBlank="1" showInputMessage="1" showErrorMessage="1" sqref="B25" xr:uid="{AAD66A5E-AFF3-46B2-8115-35A587615FB7}"/>
    <dataValidation allowBlank="1" showInputMessage="1" showErrorMessage="1" promptTitle="Compensatie indirecte emissies" prompt="Geef hier enkel het gedeelte van de steun in dat in verhouding staat tot het elektrisch verbruik van de investering waarvoor TRACKS-steun wordt aangevraagd. Dit is enkel voor fallback-subinstallaties en installaties met uitwisselbaarheid van brandstoffen." sqref="H62:Q62" xr:uid="{0302A222-E0FF-422D-B67B-55D7ABC1B8B3}"/>
  </dataValidations>
  <pageMargins left="0.7" right="0.7" top="0.75" bottom="0.75" header="0.3" footer="0.3"/>
  <pageSetup paperSize="9" orientation="portrait"/>
  <ignoredErrors>
    <ignoredError sqref="H57:Q58 H51:Q52 H44:Q45 H41:Q41 H38:Q38 H29:Q29 H24:Q24 H82:Q82" unlockedFormula="1"/>
    <ignoredError sqref="H153:Q153" 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4" id="{4D83CECB-0AE5-48D3-8302-F62145E19F21}">
            <xm:f>H37='dropdown lists'!$B$4</xm:f>
            <x14:dxf>
              <font>
                <b val="0"/>
                <i/>
                <strike val="0"/>
              </font>
              <fill>
                <patternFill patternType="lightUp">
                  <fgColor theme="0" tint="-0.34998626667073579"/>
                </patternFill>
              </fill>
              <border>
                <left/>
                <right/>
                <top/>
                <bottom/>
                <vertical/>
                <horizontal/>
              </border>
            </x14:dxf>
          </x14:cfRule>
          <xm:sqref>H37:Q37</xm:sqref>
        </x14:conditionalFormatting>
        <x14:conditionalFormatting xmlns:xm="http://schemas.microsoft.com/office/excel/2006/main">
          <x14:cfRule type="expression" priority="11" id="{1E60B59F-B78F-476F-82A1-1837C6CC7960}">
            <xm:f>H38=VLOOKUP("Netkosten "&amp;H$37,'Technologie parameters'!$A$26:$L$35,COLUMN('Technologie parameters'!C25),FALSE)</xm:f>
            <x14:dxf>
              <font>
                <b val="0"/>
                <i/>
                <strike val="0"/>
              </font>
              <fill>
                <patternFill patternType="lightUp">
                  <fgColor theme="0" tint="-0.34998626667073579"/>
                </patternFill>
              </fill>
            </x14:dxf>
          </x14:cfRule>
          <xm:sqref>H38:Q38</xm:sqref>
        </x14:conditionalFormatting>
        <x14:conditionalFormatting xmlns:xm="http://schemas.microsoft.com/office/excel/2006/main">
          <x14:cfRule type="expression" priority="10" id="{CCA717C5-6FEC-4450-86C1-A28EE456E606}">
            <xm:f>H44=IF($B$7=1,'Technologie parameters'!C31,'Technologie parameters'!C30)</xm:f>
            <x14:dxf>
              <font>
                <b val="0"/>
                <i/>
                <strike val="0"/>
              </font>
              <fill>
                <patternFill patternType="lightUp">
                  <fgColor theme="0" tint="-0.34998626667073579"/>
                </patternFill>
              </fill>
              <border>
                <left/>
                <right/>
                <top/>
                <bottom/>
                <vertical/>
                <horizontal/>
              </border>
            </x14:dxf>
          </x14:cfRule>
          <xm:sqref>H44:Q44</xm:sqref>
        </x14:conditionalFormatting>
        <x14:conditionalFormatting xmlns:xm="http://schemas.microsoft.com/office/excel/2006/main">
          <x14:cfRule type="expression" priority="9" id="{07E29E77-C5B5-4334-8ADE-A58C248BA45C}">
            <xm:f>H45='Technologie parameters'!C35</xm:f>
            <x14:dxf>
              <font>
                <b val="0"/>
                <i/>
                <strike val="0"/>
              </font>
              <fill>
                <patternFill patternType="lightUp">
                  <fgColor theme="0" tint="-0.34998626667073579"/>
                </patternFill>
              </fill>
              <border>
                <left/>
                <right/>
                <top/>
                <bottom/>
                <vertical/>
                <horizontal/>
              </border>
            </x14:dxf>
          </x14:cfRule>
          <xm:sqref>H45:Q45</xm:sqref>
        </x14:conditionalFormatting>
        <x14:conditionalFormatting xmlns:xm="http://schemas.microsoft.com/office/excel/2006/main">
          <x14:cfRule type="expression" priority="8" id="{FDCA4190-FF68-46B0-B106-27387C42E268}">
            <xm:f>H51='Technologie parameters'!C26</xm:f>
            <x14:dxf>
              <font>
                <b val="0"/>
                <i/>
                <strike val="0"/>
              </font>
              <fill>
                <patternFill patternType="lightUp">
                  <fgColor theme="0" tint="-0.34998626667073579"/>
                </patternFill>
              </fill>
              <border>
                <left/>
                <right/>
                <top/>
                <bottom/>
                <vertical/>
                <horizontal/>
              </border>
            </x14:dxf>
          </x14:cfRule>
          <xm:sqref>H51:Q52</xm:sqref>
        </x14:conditionalFormatting>
        <x14:conditionalFormatting xmlns:xm="http://schemas.microsoft.com/office/excel/2006/main">
          <x14:cfRule type="expression" priority="7" id="{DD03C258-4FCB-42F3-97E1-B6C09521D5AA}">
            <xm:f>H56='dropdown lists'!$C$3</xm:f>
            <x14:dxf>
              <font>
                <b val="0"/>
                <i/>
                <strike val="0"/>
              </font>
              <fill>
                <patternFill patternType="lightUp">
                  <fgColor theme="0" tint="-0.34998626667073579"/>
                </patternFill>
              </fill>
              <border>
                <left/>
                <right/>
                <top/>
                <bottom/>
                <vertical/>
                <horizontal/>
              </border>
            </x14:dxf>
          </x14:cfRule>
          <xm:sqref>H56:Q56</xm:sqref>
        </x14:conditionalFormatting>
        <x14:conditionalFormatting xmlns:xm="http://schemas.microsoft.com/office/excel/2006/main">
          <x14:cfRule type="expression" priority="6" id="{F940E6AF-06BC-4B15-9C35-A2CF20D2ABE8}">
            <xm:f>H57='Technologie parameters'!C28</xm:f>
            <x14:dxf>
              <font>
                <b val="0"/>
                <i/>
                <strike val="0"/>
              </font>
              <fill>
                <patternFill patternType="lightUp">
                  <fgColor theme="0" tint="-0.34998626667073579"/>
                </patternFill>
              </fill>
              <border>
                <left/>
                <right/>
                <top/>
                <bottom/>
                <vertical/>
                <horizontal/>
              </border>
            </x14:dxf>
          </x14:cfRule>
          <xm:sqref>H57:Q58</xm:sqref>
        </x14:conditionalFormatting>
        <x14:conditionalFormatting xmlns:xm="http://schemas.microsoft.com/office/excel/2006/main">
          <x14:cfRule type="expression" priority="4" id="{27FAE4B6-A9A8-428D-869B-705B91E14180}">
            <xm:f>H84='Technologie parameters'!C36</xm:f>
            <x14:dxf>
              <font>
                <b val="0"/>
                <i/>
                <strike val="0"/>
              </font>
              <fill>
                <patternFill patternType="lightUp">
                  <fgColor theme="0" tint="-0.34998626667073579"/>
                </patternFill>
              </fill>
              <border>
                <left/>
                <right/>
                <top/>
                <bottom/>
                <vertical/>
                <horizontal/>
              </border>
            </x14:dxf>
          </x14:cfRule>
          <xm:sqref>H84:Q84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4044D842-5F65-433E-9891-F4E7BBCF00FE}">
          <x14:formula1>
            <xm:f>'dropdown lists'!#REF!</xm:f>
          </x14:formula1>
          <xm:sqref>B55</xm:sqref>
        </x14:dataValidation>
        <x14:dataValidation type="list" allowBlank="1" showInputMessage="1" showErrorMessage="1" xr:uid="{52389C37-3718-49C6-9146-0E54E81E4D79}">
          <x14:formula1>
            <xm:f>'dropdown lists'!$B$3:$B$5</xm:f>
          </x14:formula1>
          <xm:sqref>H37:Q37</xm:sqref>
        </x14:dataValidation>
        <x14:dataValidation type="list" allowBlank="1" showInputMessage="1" showErrorMessage="1" xr:uid="{1261F11D-BF71-44A5-BFC3-C0D6B069AC7A}">
          <x14:formula1>
            <xm:f>'dropdown lists'!$C$3:$C$5</xm:f>
          </x14:formula1>
          <xm:sqref>H56:Q56</xm:sqref>
        </x14:dataValidation>
        <x14:dataValidation type="list" allowBlank="1" showInputMessage="1" showErrorMessage="1" xr:uid="{8C8D7955-096A-4731-AF22-1428C2EAAF95}">
          <x14:formula1>
            <xm:f>'dropdown lists'!$A$3:$A$10</xm:f>
          </x14:formula1>
          <xm:sqref>B6:C6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72792-8715-4FC8-9BA0-E7FC5FEE7686}">
  <sheetPr>
    <tabColor theme="0" tint="-0.499984740745262"/>
  </sheetPr>
  <dimension ref="A1:U274"/>
  <sheetViews>
    <sheetView showGridLines="0" topLeftCell="B6" zoomScaleNormal="100" workbookViewId="0">
      <selection activeCell="F43" sqref="F43"/>
    </sheetView>
  </sheetViews>
  <sheetFormatPr defaultColWidth="8.85546875" defaultRowHeight="11.25" x14ac:dyDescent="0.15"/>
  <cols>
    <col min="1" max="1" width="50.85546875" style="254" customWidth="1"/>
    <col min="2" max="2" width="19.7109375" style="259" bestFit="1" customWidth="1"/>
    <col min="3" max="7" width="13.7109375" style="254" customWidth="1"/>
    <col min="8" max="17" width="14.28515625" style="254" customWidth="1"/>
    <col min="18" max="18" width="17.28515625" style="254" hidden="1" customWidth="1"/>
    <col min="19" max="20" width="11.5703125" style="254" customWidth="1"/>
    <col min="21" max="21" width="10.5703125" style="254" customWidth="1"/>
    <col min="22" max="26" width="8.85546875" style="254" bestFit="1"/>
    <col min="27" max="16384" width="8.85546875" style="254"/>
  </cols>
  <sheetData>
    <row r="1" spans="1:18" s="255" customFormat="1" ht="14.25" customHeight="1" x14ac:dyDescent="0.15">
      <c r="A1" s="260"/>
      <c r="B1" s="261"/>
      <c r="C1" s="261"/>
      <c r="D1" s="261"/>
      <c r="E1" s="261"/>
      <c r="F1" s="261"/>
      <c r="G1" s="261"/>
      <c r="H1" s="261"/>
      <c r="I1" s="261"/>
      <c r="J1" s="261"/>
      <c r="K1" s="261"/>
      <c r="L1" s="261"/>
      <c r="M1" s="261"/>
      <c r="N1" s="261"/>
      <c r="O1" s="261"/>
      <c r="P1" s="261"/>
      <c r="Q1" s="261"/>
    </row>
    <row r="2" spans="1:18" s="256" customFormat="1" ht="28.15" customHeight="1" x14ac:dyDescent="0.25">
      <c r="A2" s="262" t="s">
        <v>107</v>
      </c>
      <c r="B2" s="261"/>
      <c r="C2" s="261"/>
      <c r="D2" s="261"/>
      <c r="E2" s="261"/>
      <c r="F2" s="261"/>
      <c r="G2" s="261"/>
      <c r="H2" s="261"/>
      <c r="I2" s="261"/>
      <c r="J2" s="261"/>
      <c r="K2" s="261"/>
      <c r="L2" s="261"/>
      <c r="M2" s="261"/>
      <c r="N2" s="261"/>
      <c r="O2" s="261"/>
      <c r="P2" s="261"/>
      <c r="Q2" s="261"/>
    </row>
    <row r="3" spans="1:18" s="255" customFormat="1" ht="14.25" customHeight="1" x14ac:dyDescent="0.15">
      <c r="A3" s="261"/>
      <c r="B3" s="261"/>
      <c r="C3" s="261"/>
      <c r="D3" s="261"/>
      <c r="E3" s="261"/>
      <c r="F3" s="261"/>
      <c r="G3" s="261"/>
      <c r="H3" s="261"/>
      <c r="I3" s="261"/>
      <c r="J3" s="261"/>
      <c r="K3" s="261"/>
      <c r="L3" s="261"/>
      <c r="M3" s="261"/>
      <c r="N3" s="261"/>
      <c r="O3" s="261"/>
      <c r="P3" s="261"/>
      <c r="Q3" s="261"/>
    </row>
    <row r="4" spans="1:18" s="112" customFormat="1" ht="14.25" customHeight="1" x14ac:dyDescent="0.25">
      <c r="A4" s="22"/>
      <c r="B4" s="22"/>
      <c r="C4" s="22"/>
      <c r="D4" s="22"/>
      <c r="E4" s="22"/>
      <c r="F4" s="22"/>
      <c r="G4" s="22"/>
      <c r="H4" s="22"/>
      <c r="I4" s="22"/>
      <c r="J4" s="22"/>
      <c r="K4" s="22"/>
      <c r="L4" s="22"/>
      <c r="M4" s="22"/>
      <c r="N4" s="22"/>
      <c r="O4" s="22"/>
      <c r="P4" s="22"/>
      <c r="Q4" s="22"/>
    </row>
    <row r="5" spans="1:18" s="112" customFormat="1" ht="14.25" customHeight="1" x14ac:dyDescent="0.25">
      <c r="A5" s="22"/>
      <c r="B5" s="35"/>
      <c r="C5" s="22"/>
      <c r="D5" s="22"/>
      <c r="E5" s="22"/>
      <c r="F5" s="22"/>
      <c r="G5" s="22"/>
      <c r="H5" s="22"/>
      <c r="I5" s="22"/>
      <c r="J5" s="22"/>
      <c r="K5" s="22"/>
      <c r="L5" s="22"/>
      <c r="M5" s="22"/>
      <c r="N5" s="22"/>
      <c r="O5" s="22"/>
      <c r="P5" s="22"/>
      <c r="Q5" s="22"/>
    </row>
    <row r="6" spans="1:18" s="22" customFormat="1" ht="14.25" customHeight="1" x14ac:dyDescent="0.25">
      <c r="A6" s="70" t="s">
        <v>56</v>
      </c>
      <c r="B6" s="295" t="s">
        <v>243</v>
      </c>
      <c r="C6" s="295"/>
      <c r="M6" s="113"/>
      <c r="N6" s="22" t="s">
        <v>108</v>
      </c>
      <c r="Q6" s="114"/>
      <c r="R6" s="115"/>
    </row>
    <row r="7" spans="1:18" s="22" customFormat="1" ht="14.25" customHeight="1" x14ac:dyDescent="0.25">
      <c r="A7" s="72" t="s">
        <v>109</v>
      </c>
      <c r="B7" s="116">
        <f>IF($B$6="","",_xlfn.XLOOKUP($B$6,tech_param[Technologie],tech_param[ID]))</f>
        <v>7</v>
      </c>
      <c r="C7" s="117"/>
      <c r="D7" s="117"/>
      <c r="E7" s="117"/>
      <c r="F7" s="117"/>
      <c r="G7" s="117"/>
      <c r="H7" s="117"/>
      <c r="M7" s="71"/>
      <c r="N7" s="22" t="s">
        <v>110</v>
      </c>
      <c r="Q7" s="114"/>
      <c r="R7" s="115"/>
    </row>
    <row r="8" spans="1:18" s="22" customFormat="1" ht="14.25" customHeight="1" x14ac:dyDescent="0.25">
      <c r="C8" s="114"/>
      <c r="M8" s="263"/>
      <c r="N8" s="22" t="s">
        <v>111</v>
      </c>
      <c r="Q8" s="114"/>
    </row>
    <row r="9" spans="1:18" s="22" customFormat="1" ht="14.25" customHeight="1" x14ac:dyDescent="0.25">
      <c r="C9" s="114"/>
      <c r="M9" s="119"/>
      <c r="N9" s="22" t="s">
        <v>112</v>
      </c>
      <c r="Q9" s="114"/>
    </row>
    <row r="10" spans="1:18" s="22" customFormat="1" ht="14.25" customHeight="1" x14ac:dyDescent="0.25">
      <c r="A10" s="120"/>
      <c r="C10" s="114"/>
      <c r="M10" s="121"/>
      <c r="N10" s="122" t="s">
        <v>113</v>
      </c>
      <c r="O10" s="114"/>
      <c r="P10" s="114"/>
      <c r="Q10" s="123"/>
    </row>
    <row r="11" spans="1:18" s="22" customFormat="1" ht="14.25" customHeight="1" x14ac:dyDescent="0.25">
      <c r="A11" s="22" t="s">
        <v>61</v>
      </c>
      <c r="B11" s="124">
        <f>IFERROR(_xlfn.XLOOKUP($B$7,tech_param[ID],tech_param[Referentiebedrag]),"")</f>
        <v>469.54314720812187</v>
      </c>
      <c r="C11" s="22" t="s">
        <v>114</v>
      </c>
      <c r="H11" s="125"/>
      <c r="I11" s="125"/>
      <c r="J11" s="125"/>
      <c r="K11" s="125"/>
      <c r="L11" s="125"/>
      <c r="M11" s="125"/>
      <c r="N11" s="125"/>
      <c r="O11" s="125"/>
      <c r="P11" s="125"/>
      <c r="Q11" s="125"/>
    </row>
    <row r="12" spans="1:18" s="22" customFormat="1" ht="14.25" customHeight="1" x14ac:dyDescent="0.25">
      <c r="A12" s="22" t="s">
        <v>115</v>
      </c>
      <c r="B12" s="99">
        <v>400</v>
      </c>
      <c r="C12" s="22" t="s">
        <v>114</v>
      </c>
      <c r="D12" s="125"/>
      <c r="E12" s="125"/>
      <c r="F12" s="125"/>
      <c r="G12" s="125"/>
      <c r="H12" s="126"/>
      <c r="I12" s="125"/>
      <c r="J12" s="125"/>
      <c r="K12" s="125"/>
      <c r="L12" s="125"/>
      <c r="M12" s="125"/>
      <c r="N12" s="125"/>
      <c r="O12" s="125"/>
      <c r="P12" s="125"/>
      <c r="Q12" s="125"/>
    </row>
    <row r="13" spans="1:18" s="22" customFormat="1" ht="15.6" customHeight="1" x14ac:dyDescent="0.25"/>
    <row r="14" spans="1:18" s="22" customFormat="1" ht="15.6" customHeight="1" x14ac:dyDescent="0.25">
      <c r="B14" s="296" t="str">
        <f>IF(B12&gt;B11,"Opgelet: het aanvraagbedrag is groter dan het referentiebedrag.","")</f>
        <v/>
      </c>
      <c r="C14" s="297"/>
      <c r="D14" s="297"/>
      <c r="E14" s="297"/>
      <c r="F14" s="297"/>
      <c r="G14" s="297"/>
      <c r="H14" s="297"/>
      <c r="I14" s="297"/>
      <c r="J14" s="297"/>
      <c r="K14" s="297"/>
      <c r="L14" s="297"/>
      <c r="M14" s="297"/>
      <c r="N14" s="297"/>
      <c r="O14" s="128"/>
      <c r="P14" s="128"/>
      <c r="Q14" s="128"/>
    </row>
    <row r="15" spans="1:18" s="22" customFormat="1" ht="15.6" customHeight="1" x14ac:dyDescent="0.25">
      <c r="B15" s="127"/>
      <c r="C15" s="128"/>
      <c r="D15" s="128"/>
      <c r="E15" s="128"/>
      <c r="F15" s="128"/>
      <c r="G15" s="128"/>
      <c r="H15" s="128"/>
      <c r="I15" s="128"/>
      <c r="J15" s="128"/>
      <c r="K15" s="128"/>
      <c r="L15" s="128"/>
      <c r="M15" s="128"/>
      <c r="N15" s="128"/>
      <c r="O15" s="128"/>
      <c r="P15" s="128"/>
      <c r="Q15" s="128"/>
    </row>
    <row r="16" spans="1:18" s="45" customFormat="1" ht="14.25" customHeight="1" x14ac:dyDescent="0.25">
      <c r="A16" s="13" t="s">
        <v>116</v>
      </c>
      <c r="B16" s="43"/>
      <c r="C16" s="43"/>
      <c r="D16" s="43"/>
      <c r="E16" s="43"/>
      <c r="F16" s="43"/>
      <c r="G16" s="43"/>
      <c r="H16" s="43"/>
      <c r="I16" s="43"/>
      <c r="J16" s="43"/>
    </row>
    <row r="17" spans="1:18" s="22" customFormat="1" ht="14.25" customHeight="1" x14ac:dyDescent="0.25">
      <c r="A17" s="290" t="s">
        <v>117</v>
      </c>
      <c r="B17" s="291"/>
      <c r="C17" s="291"/>
      <c r="D17" s="291"/>
      <c r="E17" s="291"/>
      <c r="F17" s="291"/>
      <c r="G17" s="291"/>
      <c r="H17" s="291"/>
      <c r="I17" s="291"/>
      <c r="J17" s="291"/>
      <c r="K17" s="291"/>
      <c r="L17" s="291"/>
      <c r="M17" s="291"/>
      <c r="N17" s="294"/>
      <c r="O17" s="294"/>
      <c r="P17" s="294"/>
      <c r="Q17" s="294"/>
    </row>
    <row r="18" spans="1:18" s="22" customFormat="1" ht="14.25" customHeight="1" x14ac:dyDescent="0.25">
      <c r="A18" s="129"/>
      <c r="B18" s="35"/>
    </row>
    <row r="19" spans="1:18" s="22" customFormat="1" ht="14.25" customHeight="1" x14ac:dyDescent="0.25">
      <c r="A19" s="130"/>
      <c r="B19" s="35"/>
      <c r="H19" s="298" t="s">
        <v>118</v>
      </c>
      <c r="I19" s="298"/>
      <c r="J19" s="298"/>
      <c r="K19" s="298"/>
      <c r="L19" s="298"/>
      <c r="M19" s="298"/>
      <c r="N19" s="298"/>
      <c r="O19" s="298"/>
      <c r="P19" s="298"/>
      <c r="Q19" s="298"/>
    </row>
    <row r="20" spans="1:18" s="22" customFormat="1" ht="14.25" customHeight="1" x14ac:dyDescent="0.25">
      <c r="A20" s="130"/>
      <c r="B20" s="35"/>
      <c r="D20" s="131">
        <v>-4</v>
      </c>
      <c r="E20" s="131">
        <v>-3</v>
      </c>
      <c r="F20" s="131">
        <v>-2</v>
      </c>
      <c r="G20" s="131">
        <v>-1</v>
      </c>
      <c r="H20" s="131">
        <v>1</v>
      </c>
      <c r="I20" s="131">
        <v>2</v>
      </c>
      <c r="J20" s="131">
        <v>3</v>
      </c>
      <c r="K20" s="131">
        <v>4</v>
      </c>
      <c r="L20" s="131">
        <v>5</v>
      </c>
      <c r="M20" s="131">
        <v>6</v>
      </c>
      <c r="N20" s="131">
        <v>7</v>
      </c>
      <c r="O20" s="131">
        <v>8</v>
      </c>
      <c r="P20" s="131">
        <v>9</v>
      </c>
      <c r="Q20" s="131">
        <v>10</v>
      </c>
    </row>
    <row r="21" spans="1:18" s="135" customFormat="1" ht="31.5" customHeight="1" x14ac:dyDescent="0.25">
      <c r="A21" s="132" t="s">
        <v>119</v>
      </c>
      <c r="B21" s="133" t="s">
        <v>120</v>
      </c>
      <c r="C21" s="132" t="s">
        <v>19</v>
      </c>
      <c r="D21" s="134"/>
      <c r="E21" s="134"/>
      <c r="F21" s="134"/>
      <c r="G21" s="134"/>
      <c r="H21" s="134"/>
      <c r="I21" s="134"/>
      <c r="J21" s="134"/>
      <c r="K21" s="134"/>
      <c r="L21" s="134"/>
      <c r="M21" s="134"/>
      <c r="N21" s="134"/>
      <c r="O21" s="134"/>
      <c r="P21" s="134"/>
      <c r="Q21" s="134"/>
    </row>
    <row r="22" spans="1:18" s="22" customFormat="1" ht="14.25" customHeight="1" x14ac:dyDescent="0.25">
      <c r="A22" s="22" t="s">
        <v>121</v>
      </c>
      <c r="B22" s="100">
        <v>1000</v>
      </c>
      <c r="C22" s="22" t="s">
        <v>122</v>
      </c>
    </row>
    <row r="23" spans="1:18" s="22" customFormat="1" ht="14.25" customHeight="1" x14ac:dyDescent="0.25">
      <c r="A23" s="22" t="s">
        <v>123</v>
      </c>
      <c r="B23" s="264">
        <f>'Technologie parameters'!Q9</f>
        <v>0.99</v>
      </c>
    </row>
    <row r="24" spans="1:18" s="22" customFormat="1" ht="14.25" customHeight="1" x14ac:dyDescent="0.25">
      <c r="A24" s="112" t="s">
        <v>124</v>
      </c>
      <c r="B24" s="99">
        <v>4.5</v>
      </c>
      <c r="H24" s="98">
        <f t="shared" ref="H24:Q24" si="0">$B$24</f>
        <v>4.5</v>
      </c>
      <c r="I24" s="98">
        <f t="shared" si="0"/>
        <v>4.5</v>
      </c>
      <c r="J24" s="98">
        <f t="shared" si="0"/>
        <v>4.5</v>
      </c>
      <c r="K24" s="98">
        <f t="shared" si="0"/>
        <v>4.5</v>
      </c>
      <c r="L24" s="98">
        <f t="shared" si="0"/>
        <v>4.5</v>
      </c>
      <c r="M24" s="98">
        <f t="shared" si="0"/>
        <v>4.5</v>
      </c>
      <c r="N24" s="98">
        <f t="shared" si="0"/>
        <v>4.5</v>
      </c>
      <c r="O24" s="98">
        <f t="shared" si="0"/>
        <v>4.5</v>
      </c>
      <c r="P24" s="98">
        <f t="shared" si="0"/>
        <v>4.5</v>
      </c>
      <c r="Q24" s="98">
        <f t="shared" si="0"/>
        <v>4.5</v>
      </c>
    </row>
    <row r="25" spans="1:18" s="22" customFormat="1" ht="14.25" customHeight="1" x14ac:dyDescent="0.25">
      <c r="B25" s="137"/>
    </row>
    <row r="26" spans="1:18" s="22" customFormat="1" ht="14.25" customHeight="1" x14ac:dyDescent="0.25">
      <c r="A26" s="112" t="s">
        <v>125</v>
      </c>
      <c r="B26" s="265">
        <f>IF(B7=1,B22*B23,B24*B22)</f>
        <v>4500</v>
      </c>
      <c r="C26" s="22" t="s">
        <v>126</v>
      </c>
    </row>
    <row r="27" spans="1:18" s="22" customFormat="1" ht="14.25" customHeight="1" x14ac:dyDescent="0.25">
      <c r="B27" s="139"/>
    </row>
    <row r="28" spans="1:18" s="22" customFormat="1" ht="14.25" customHeight="1" x14ac:dyDescent="0.25"/>
    <row r="29" spans="1:18" s="22" customFormat="1" ht="14.25" customHeight="1" x14ac:dyDescent="0.25">
      <c r="A29" s="22" t="s">
        <v>127</v>
      </c>
      <c r="B29" s="139"/>
      <c r="C29" s="22" t="s">
        <v>128</v>
      </c>
      <c r="H29" s="101">
        <f t="shared" ref="H29:Q29" si="1">$B$30</f>
        <v>3000</v>
      </c>
      <c r="I29" s="101">
        <f t="shared" si="1"/>
        <v>3000</v>
      </c>
      <c r="J29" s="101">
        <f t="shared" si="1"/>
        <v>3000</v>
      </c>
      <c r="K29" s="101">
        <f t="shared" si="1"/>
        <v>3000</v>
      </c>
      <c r="L29" s="101">
        <f t="shared" si="1"/>
        <v>3000</v>
      </c>
      <c r="M29" s="101">
        <f t="shared" si="1"/>
        <v>3000</v>
      </c>
      <c r="N29" s="101">
        <f t="shared" si="1"/>
        <v>3000</v>
      </c>
      <c r="O29" s="101">
        <f t="shared" si="1"/>
        <v>3000</v>
      </c>
      <c r="P29" s="101">
        <f t="shared" si="1"/>
        <v>3000</v>
      </c>
      <c r="Q29" s="101">
        <f t="shared" si="1"/>
        <v>3000</v>
      </c>
      <c r="R29" s="266"/>
    </row>
    <row r="30" spans="1:18" s="22" customFormat="1" ht="13.15" customHeight="1" x14ac:dyDescent="0.25">
      <c r="A30" s="22" t="s">
        <v>59</v>
      </c>
      <c r="B30" s="141">
        <f>IFERROR(_xlfn.XLOOKUP($B$7,tech_param[ID],tech_param[Maximum aantal vollasturen]),"")</f>
        <v>3000</v>
      </c>
      <c r="C30" s="22" t="s">
        <v>128</v>
      </c>
      <c r="H30" s="267"/>
      <c r="I30" s="267"/>
      <c r="J30" s="267"/>
      <c r="K30" s="267"/>
      <c r="L30" s="267"/>
      <c r="M30" s="267"/>
      <c r="N30" s="267"/>
      <c r="O30" s="267"/>
      <c r="P30" s="267"/>
      <c r="Q30" s="267"/>
      <c r="R30" s="266"/>
    </row>
    <row r="31" spans="1:18" s="22" customFormat="1" ht="14.25" customHeight="1" x14ac:dyDescent="0.25">
      <c r="A31" s="22" t="s">
        <v>129</v>
      </c>
      <c r="B31" s="139"/>
      <c r="C31" s="22" t="s">
        <v>128</v>
      </c>
      <c r="H31" s="265">
        <f t="shared" ref="H31:Q31" si="2">MIN($B$30,IF(H29="",0,H29))</f>
        <v>3000</v>
      </c>
      <c r="I31" s="265">
        <f t="shared" si="2"/>
        <v>3000</v>
      </c>
      <c r="J31" s="265">
        <f t="shared" si="2"/>
        <v>3000</v>
      </c>
      <c r="K31" s="265">
        <f t="shared" si="2"/>
        <v>3000</v>
      </c>
      <c r="L31" s="265">
        <f t="shared" si="2"/>
        <v>3000</v>
      </c>
      <c r="M31" s="265">
        <f t="shared" si="2"/>
        <v>3000</v>
      </c>
      <c r="N31" s="265">
        <f t="shared" si="2"/>
        <v>3000</v>
      </c>
      <c r="O31" s="265">
        <f t="shared" si="2"/>
        <v>3000</v>
      </c>
      <c r="P31" s="265">
        <f t="shared" si="2"/>
        <v>3000</v>
      </c>
      <c r="Q31" s="265">
        <f t="shared" si="2"/>
        <v>3000</v>
      </c>
      <c r="R31" s="266"/>
    </row>
    <row r="32" spans="1:18" s="22" customFormat="1" ht="14.25" customHeight="1" x14ac:dyDescent="0.25">
      <c r="B32" s="139"/>
      <c r="H32" s="267"/>
      <c r="I32" s="267"/>
      <c r="J32" s="267"/>
      <c r="K32" s="267"/>
      <c r="L32" s="267"/>
      <c r="M32" s="267"/>
      <c r="N32" s="267"/>
      <c r="O32" s="267"/>
      <c r="P32" s="267"/>
      <c r="Q32" s="267"/>
      <c r="R32" s="266"/>
    </row>
    <row r="33" spans="1:18" s="22" customFormat="1" ht="14.25" customHeight="1" x14ac:dyDescent="0.25">
      <c r="A33" s="132"/>
      <c r="B33" s="35"/>
      <c r="C33" s="125"/>
      <c r="D33" s="125"/>
      <c r="E33" s="125"/>
      <c r="F33" s="125"/>
      <c r="G33" s="125"/>
      <c r="H33" s="126"/>
      <c r="I33" s="125"/>
      <c r="J33" s="125"/>
      <c r="K33" s="125"/>
      <c r="L33" s="125"/>
      <c r="M33" s="125"/>
      <c r="N33" s="125"/>
      <c r="O33" s="125"/>
      <c r="P33" s="125"/>
      <c r="Q33" s="125"/>
    </row>
    <row r="34" spans="1:18" s="135" customFormat="1" ht="14.25" customHeight="1" x14ac:dyDescent="0.25">
      <c r="A34" s="132" t="s">
        <v>130</v>
      </c>
      <c r="B34" s="133"/>
      <c r="C34" s="132" t="s">
        <v>19</v>
      </c>
      <c r="D34" s="134"/>
      <c r="E34" s="134"/>
      <c r="F34" s="134"/>
      <c r="G34" s="134"/>
      <c r="H34" s="134"/>
      <c r="I34" s="134"/>
      <c r="J34" s="134"/>
      <c r="K34" s="134"/>
      <c r="L34" s="134"/>
      <c r="M34" s="134"/>
      <c r="N34" s="134"/>
      <c r="O34" s="134"/>
      <c r="P34" s="134"/>
      <c r="Q34" s="134"/>
    </row>
    <row r="35" spans="1:18" s="22" customFormat="1" ht="14.25" customHeight="1" x14ac:dyDescent="0.25">
      <c r="A35" s="22" t="s">
        <v>131</v>
      </c>
      <c r="B35" s="139"/>
      <c r="C35" s="22" t="s">
        <v>132</v>
      </c>
      <c r="D35" s="100"/>
      <c r="E35" s="100"/>
      <c r="F35" s="100"/>
      <c r="G35" s="100">
        <v>6000000</v>
      </c>
      <c r="H35" s="35"/>
      <c r="I35" s="143"/>
      <c r="J35" s="143"/>
      <c r="K35" s="143"/>
      <c r="L35" s="143"/>
      <c r="M35" s="143"/>
      <c r="N35" s="143"/>
      <c r="O35" s="143"/>
      <c r="P35" s="143"/>
      <c r="Q35" s="143"/>
      <c r="R35" s="144"/>
    </row>
    <row r="36" spans="1:18" s="22" customFormat="1" ht="14.25" customHeight="1" x14ac:dyDescent="0.25">
      <c r="D36" s="139"/>
      <c r="E36" s="139"/>
      <c r="F36" s="139"/>
      <c r="G36" s="139"/>
      <c r="H36" s="35"/>
      <c r="I36" s="143"/>
      <c r="J36" s="143"/>
      <c r="K36" s="143"/>
      <c r="L36" s="143"/>
      <c r="M36" s="143"/>
      <c r="N36" s="143"/>
      <c r="O36" s="143"/>
      <c r="P36" s="143"/>
      <c r="Q36" s="143"/>
      <c r="R36" s="144"/>
    </row>
    <row r="37" spans="1:18" s="22" customFormat="1" ht="14.25" customHeight="1" x14ac:dyDescent="0.25">
      <c r="A37" s="22" t="s">
        <v>133</v>
      </c>
      <c r="D37" s="139"/>
      <c r="E37" s="139"/>
      <c r="F37" s="139"/>
      <c r="G37" s="139"/>
      <c r="H37" s="102" t="s">
        <v>134</v>
      </c>
      <c r="I37" s="102" t="s">
        <v>134</v>
      </c>
      <c r="J37" s="102" t="s">
        <v>134</v>
      </c>
      <c r="K37" s="102" t="s">
        <v>134</v>
      </c>
      <c r="L37" s="102" t="s">
        <v>134</v>
      </c>
      <c r="M37" s="102" t="s">
        <v>134</v>
      </c>
      <c r="N37" s="102" t="s">
        <v>134</v>
      </c>
      <c r="O37" s="102" t="s">
        <v>134</v>
      </c>
      <c r="P37" s="102" t="s">
        <v>134</v>
      </c>
      <c r="Q37" s="102" t="s">
        <v>134</v>
      </c>
      <c r="R37" s="144"/>
    </row>
    <row r="38" spans="1:18" s="22" customFormat="1" ht="14.25" customHeight="1" x14ac:dyDescent="0.25">
      <c r="A38" s="112" t="s">
        <v>135</v>
      </c>
      <c r="B38" s="139"/>
      <c r="C38" s="22" t="s">
        <v>105</v>
      </c>
      <c r="H38" s="103" cm="1">
        <f t="array" aca="1" ref="H38" ca="1">_xlfn.XLOOKUP("Netkosten " &amp; H37,INDIRECT("prefill[Kostenpost]"),prefill[1])</f>
        <v>45.415199999999999</v>
      </c>
      <c r="I38" s="103" cm="1">
        <f t="array" aca="1" ref="I38" ca="1">_xlfn.XLOOKUP("Netkosten " &amp; I37,INDIRECT("prefill[Kostenpost]"),prefill[2])</f>
        <v>46.323504</v>
      </c>
      <c r="J38" s="103" cm="1">
        <f t="array" aca="1" ref="J38" ca="1">_xlfn.XLOOKUP("Netkosten " &amp; J37,INDIRECT("prefill[Kostenpost]"),prefill[3])</f>
        <v>47.249974080000001</v>
      </c>
      <c r="K38" s="103" cm="1">
        <f t="array" aca="1" ref="K38" ca="1">_xlfn.XLOOKUP("Netkosten " &amp; K37,INDIRECT("prefill[Kostenpost]"),prefill[4])</f>
        <v>48.194973561600001</v>
      </c>
      <c r="L38" s="103" cm="1">
        <f t="array" aca="1" ref="L38" ca="1">_xlfn.XLOOKUP("Netkosten " &amp; L37,INDIRECT("prefill[Kostenpost]"),prefill[5])</f>
        <v>49.158873032832005</v>
      </c>
      <c r="M38" s="103" cm="1">
        <f t="array" aca="1" ref="M38" ca="1">_xlfn.XLOOKUP("Netkosten " &amp; M37,INDIRECT("prefill[Kostenpost]"),prefill[6])</f>
        <v>50.142050493488647</v>
      </c>
      <c r="N38" s="103" cm="1">
        <f t="array" aca="1" ref="N38" ca="1">_xlfn.XLOOKUP("Netkosten " &amp; N37,INDIRECT("prefill[Kostenpost]"),prefill[7])</f>
        <v>51.144891503358423</v>
      </c>
      <c r="O38" s="103" cm="1">
        <f t="array" aca="1" ref="O38" ca="1">_xlfn.XLOOKUP("Netkosten " &amp; O37,INDIRECT("prefill[Kostenpost]"),prefill[8])</f>
        <v>52.167789333425596</v>
      </c>
      <c r="P38" s="103" cm="1">
        <f t="array" aca="1" ref="P38" ca="1">_xlfn.XLOOKUP("Netkosten " &amp; P37,INDIRECT("prefill[Kostenpost]"),prefill[9])</f>
        <v>53.211145120094109</v>
      </c>
      <c r="Q38" s="103" cm="1">
        <f t="array" aca="1" ref="Q38" ca="1">_xlfn.XLOOKUP("Netkosten " &amp; Q37,INDIRECT("prefill[Kostenpost]"),prefill[10])</f>
        <v>54.275368022495989</v>
      </c>
      <c r="R38" s="268"/>
    </row>
    <row r="39" spans="1:18" s="22" customFormat="1" ht="14.25" customHeight="1" x14ac:dyDescent="0.25">
      <c r="A39" s="146" t="s">
        <v>136</v>
      </c>
      <c r="B39" s="264">
        <f>IFERROR(_xlfn.XLOOKUP($B$7,tech_param[ID],tech_param[Correctiefactor netkost]),"")</f>
        <v>1</v>
      </c>
      <c r="H39" s="269"/>
      <c r="I39" s="269"/>
      <c r="J39" s="269"/>
      <c r="K39" s="269"/>
      <c r="L39" s="269"/>
      <c r="M39" s="269"/>
      <c r="N39" s="269"/>
      <c r="O39" s="269"/>
      <c r="P39" s="269"/>
      <c r="Q39" s="269"/>
      <c r="R39" s="268"/>
    </row>
    <row r="40" spans="1:18" s="22" customFormat="1" ht="14.25" customHeight="1" x14ac:dyDescent="0.25">
      <c r="A40" s="148" t="s">
        <v>137</v>
      </c>
      <c r="B40" s="139"/>
      <c r="C40" s="22" t="s">
        <v>138</v>
      </c>
      <c r="H40" s="265">
        <f t="shared" ref="H40:Q40" ca="1" si="3">IFERROR(H38*$B$39*$B$22,"")</f>
        <v>45415.199999999997</v>
      </c>
      <c r="I40" s="265">
        <f t="shared" ca="1" si="3"/>
        <v>46323.504000000001</v>
      </c>
      <c r="J40" s="265">
        <f t="shared" ca="1" si="3"/>
        <v>47249.97408</v>
      </c>
      <c r="K40" s="265">
        <f t="shared" ca="1" si="3"/>
        <v>48194.973561600003</v>
      </c>
      <c r="L40" s="265">
        <f t="shared" ca="1" si="3"/>
        <v>49158.873032832009</v>
      </c>
      <c r="M40" s="265">
        <f t="shared" ca="1" si="3"/>
        <v>50142.050493488648</v>
      </c>
      <c r="N40" s="265">
        <f t="shared" ca="1" si="3"/>
        <v>51144.89150335842</v>
      </c>
      <c r="O40" s="265">
        <f t="shared" ca="1" si="3"/>
        <v>52167.789333425593</v>
      </c>
      <c r="P40" s="265">
        <f t="shared" ca="1" si="3"/>
        <v>53211.145120094108</v>
      </c>
      <c r="Q40" s="265">
        <f t="shared" ca="1" si="3"/>
        <v>54275.36802249599</v>
      </c>
      <c r="R40" s="268"/>
    </row>
    <row r="41" spans="1:18" s="22" customFormat="1" ht="14.25" customHeight="1" x14ac:dyDescent="0.25">
      <c r="A41" s="149" t="s">
        <v>139</v>
      </c>
      <c r="B41" s="139"/>
      <c r="C41" s="22" t="s">
        <v>138</v>
      </c>
      <c r="H41" s="100">
        <f t="shared" ref="H41:Q41" si="4">0.04*SUM($D$35:$G$35)</f>
        <v>240000</v>
      </c>
      <c r="I41" s="100">
        <f t="shared" si="4"/>
        <v>240000</v>
      </c>
      <c r="J41" s="100">
        <f t="shared" si="4"/>
        <v>240000</v>
      </c>
      <c r="K41" s="100">
        <f t="shared" si="4"/>
        <v>240000</v>
      </c>
      <c r="L41" s="100">
        <f t="shared" si="4"/>
        <v>240000</v>
      </c>
      <c r="M41" s="100">
        <f t="shared" si="4"/>
        <v>240000</v>
      </c>
      <c r="N41" s="100">
        <f t="shared" si="4"/>
        <v>240000</v>
      </c>
      <c r="O41" s="100">
        <f t="shared" si="4"/>
        <v>240000</v>
      </c>
      <c r="P41" s="100">
        <f t="shared" si="4"/>
        <v>240000</v>
      </c>
      <c r="Q41" s="100">
        <f t="shared" si="4"/>
        <v>240000</v>
      </c>
      <c r="R41" s="268"/>
    </row>
    <row r="42" spans="1:18" s="22" customFormat="1" ht="14.25" customHeight="1" x14ac:dyDescent="0.25">
      <c r="A42" s="112" t="s">
        <v>140</v>
      </c>
      <c r="B42" s="139"/>
      <c r="C42" s="22" t="s">
        <v>138</v>
      </c>
      <c r="H42" s="139">
        <f t="shared" ref="H42:Q42" ca="1" si="5">IFERROR(ABS(H40)+ABS(H41),"")</f>
        <v>285415.2</v>
      </c>
      <c r="I42" s="139">
        <f t="shared" ca="1" si="5"/>
        <v>286323.50400000002</v>
      </c>
      <c r="J42" s="139">
        <f t="shared" ca="1" si="5"/>
        <v>287249.97408000001</v>
      </c>
      <c r="K42" s="139">
        <f t="shared" ca="1" si="5"/>
        <v>288194.97356160003</v>
      </c>
      <c r="L42" s="139">
        <f t="shared" ca="1" si="5"/>
        <v>289158.87303283199</v>
      </c>
      <c r="M42" s="139">
        <f t="shared" ca="1" si="5"/>
        <v>290142.05049348867</v>
      </c>
      <c r="N42" s="139">
        <f t="shared" ca="1" si="5"/>
        <v>291144.89150335843</v>
      </c>
      <c r="O42" s="139">
        <f t="shared" ca="1" si="5"/>
        <v>292167.78933342558</v>
      </c>
      <c r="P42" s="139">
        <f t="shared" ca="1" si="5"/>
        <v>293211.14512009412</v>
      </c>
      <c r="Q42" s="139">
        <f t="shared" ca="1" si="5"/>
        <v>294275.368022496</v>
      </c>
      <c r="R42" s="125"/>
    </row>
    <row r="43" spans="1:18" s="22" customFormat="1" ht="14.25" customHeight="1" x14ac:dyDescent="0.25">
      <c r="A43" s="112"/>
      <c r="B43" s="139"/>
      <c r="H43" s="139"/>
      <c r="I43" s="139"/>
      <c r="J43" s="139"/>
      <c r="K43" s="139"/>
      <c r="L43" s="139"/>
      <c r="M43" s="139"/>
      <c r="N43" s="139"/>
      <c r="O43" s="139"/>
      <c r="P43" s="139"/>
      <c r="Q43" s="139"/>
      <c r="R43" s="125"/>
    </row>
    <row r="44" spans="1:18" s="22" customFormat="1" ht="14.25" customHeight="1" x14ac:dyDescent="0.25">
      <c r="A44" s="149" t="s">
        <v>141</v>
      </c>
      <c r="B44" s="35"/>
      <c r="C44" s="22" t="s">
        <v>103</v>
      </c>
      <c r="H44" s="104">
        <f>IF($B$7=1,'Technologie parameters'!C31,'Technologie parameters'!C30)</f>
        <v>8.076829363451217E-2</v>
      </c>
      <c r="I44" s="104">
        <f>IF($B$7=1,'Technologie parameters'!D31,'Technologie parameters'!D30)</f>
        <v>8.076829363451217E-2</v>
      </c>
      <c r="J44" s="104">
        <f>IF($B$7=1,'Technologie parameters'!E31,'Technologie parameters'!E30)</f>
        <v>8.076829363451217E-2</v>
      </c>
      <c r="K44" s="104">
        <f>IF($B$7=1,'Technologie parameters'!F31,'Technologie parameters'!F30)</f>
        <v>8.076829363451217E-2</v>
      </c>
      <c r="L44" s="104">
        <f>IF($B$7=1,'Technologie parameters'!G31,'Technologie parameters'!G30)</f>
        <v>9.7786940780525702E-2</v>
      </c>
      <c r="M44" s="104">
        <f>IF($B$7=1,'Technologie parameters'!H31,'Technologie parameters'!H30)</f>
        <v>9.6992881411781598E-2</v>
      </c>
      <c r="N44" s="104">
        <f>IF($B$7=1,'Technologie parameters'!I31,'Technologie parameters'!I30)</f>
        <v>9.61279448919755E-2</v>
      </c>
      <c r="O44" s="104">
        <f>IF($B$7=1,'Technologie parameters'!J31,'Technologie parameters'!J30)</f>
        <v>9.5189613758812394E-2</v>
      </c>
      <c r="P44" s="104">
        <f>IF($B$7=1,'Technologie parameters'!K31,'Technologie parameters'!K30)</f>
        <v>9.4175298202366087E-2</v>
      </c>
      <c r="Q44" s="104">
        <f>IF($B$7=1,'Technologie parameters'!L31,'Technologie parameters'!L30)</f>
        <v>9.6058804166413395E-2</v>
      </c>
      <c r="R44" s="270"/>
    </row>
    <row r="45" spans="1:18" s="22" customFormat="1" ht="14.25" customHeight="1" x14ac:dyDescent="0.25">
      <c r="A45" s="151" t="s">
        <v>142</v>
      </c>
      <c r="B45" s="152"/>
      <c r="C45" s="22" t="s">
        <v>103</v>
      </c>
      <c r="H45" s="105">
        <f>'Technologie parameters'!C35</f>
        <v>7.7200000000000003E-3</v>
      </c>
      <c r="I45" s="105">
        <f>'Technologie parameters'!D35</f>
        <v>7.8744000000000001E-3</v>
      </c>
      <c r="J45" s="105">
        <f>'Technologie parameters'!E35</f>
        <v>8.0318880000000009E-3</v>
      </c>
      <c r="K45" s="105">
        <f>'Technologie parameters'!F35</f>
        <v>8.1925257600000013E-3</v>
      </c>
      <c r="L45" s="105">
        <f>'Technologie parameters'!G35</f>
        <v>8.3563762752000021E-3</v>
      </c>
      <c r="M45" s="105">
        <f>'Technologie parameters'!H35</f>
        <v>8.5235038007040031E-3</v>
      </c>
      <c r="N45" s="105">
        <f>'Technologie parameters'!I35</f>
        <v>8.6939738767180825E-3</v>
      </c>
      <c r="O45" s="105">
        <f>'Technologie parameters'!J35</f>
        <v>8.8678533542524435E-3</v>
      </c>
      <c r="P45" s="105">
        <f>'Technologie parameters'!K35</f>
        <v>9.0452104213374924E-3</v>
      </c>
      <c r="Q45" s="105">
        <f>'Technologie parameters'!L35</f>
        <v>9.226114629764243E-3</v>
      </c>
      <c r="R45" s="268"/>
    </row>
    <row r="46" spans="1:18" s="22" customFormat="1" ht="14.25" customHeight="1" x14ac:dyDescent="0.25">
      <c r="A46" s="153" t="s">
        <v>143</v>
      </c>
      <c r="B46" s="31"/>
      <c r="C46" s="22" t="s">
        <v>103</v>
      </c>
      <c r="H46" s="31">
        <f t="shared" ref="H46:Q46" si="6">SUM(H44:H45)</f>
        <v>8.8488293634512175E-2</v>
      </c>
      <c r="I46" s="31">
        <f t="shared" si="6"/>
        <v>8.8642693634512174E-2</v>
      </c>
      <c r="J46" s="31">
        <f t="shared" si="6"/>
        <v>8.8800181634512171E-2</v>
      </c>
      <c r="K46" s="31">
        <f t="shared" si="6"/>
        <v>8.8960819394512169E-2</v>
      </c>
      <c r="L46" s="31">
        <f t="shared" si="6"/>
        <v>0.1061433170557257</v>
      </c>
      <c r="M46" s="31">
        <f t="shared" si="6"/>
        <v>0.1055163852124856</v>
      </c>
      <c r="N46" s="31">
        <f t="shared" si="6"/>
        <v>0.10482191876869358</v>
      </c>
      <c r="O46" s="31">
        <f t="shared" si="6"/>
        <v>0.10405746711306484</v>
      </c>
      <c r="P46" s="31">
        <f t="shared" si="6"/>
        <v>0.10322050862370358</v>
      </c>
      <c r="Q46" s="31">
        <f t="shared" si="6"/>
        <v>0.10528491879617764</v>
      </c>
      <c r="R46" s="125"/>
    </row>
    <row r="47" spans="1:18" s="22" customFormat="1" ht="14.25" customHeight="1" x14ac:dyDescent="0.25">
      <c r="A47" s="154" t="s">
        <v>144</v>
      </c>
      <c r="B47" s="155"/>
      <c r="C47" s="22" t="s">
        <v>138</v>
      </c>
      <c r="H47" s="156">
        <f t="shared" ref="H47:Q47" si="7">IFERROR(H46*($B$22*H29),"")</f>
        <v>265464.88090353651</v>
      </c>
      <c r="I47" s="156">
        <f t="shared" si="7"/>
        <v>265928.08090353652</v>
      </c>
      <c r="J47" s="156">
        <f t="shared" si="7"/>
        <v>266400.5449035365</v>
      </c>
      <c r="K47" s="156">
        <f t="shared" si="7"/>
        <v>266882.45818353648</v>
      </c>
      <c r="L47" s="156">
        <f t="shared" si="7"/>
        <v>318429.95116717712</v>
      </c>
      <c r="M47" s="156">
        <f t="shared" si="7"/>
        <v>316549.1556374568</v>
      </c>
      <c r="N47" s="156">
        <f t="shared" si="7"/>
        <v>314465.75630608073</v>
      </c>
      <c r="O47" s="156">
        <f t="shared" si="7"/>
        <v>312172.4013391945</v>
      </c>
      <c r="P47" s="156">
        <f t="shared" si="7"/>
        <v>309661.52587111073</v>
      </c>
      <c r="Q47" s="156">
        <f t="shared" si="7"/>
        <v>315854.75638853293</v>
      </c>
      <c r="R47" s="125"/>
    </row>
    <row r="48" spans="1:18" s="22" customFormat="1" ht="14.25" customHeight="1" x14ac:dyDescent="0.25">
      <c r="A48" s="153" t="s">
        <v>145</v>
      </c>
      <c r="B48" s="157">
        <f>IFERROR(_xlfn.XLOOKUP($B$7,tech_param[ID],tech_param[LT Marktprijs elektriciteit])+_xlfn.XLOOKUP($B$7,tech_param[ID],tech_param[Netkosten op verbruik en heffingen elektriciteit]),"")</f>
        <v>0.10532000000000001</v>
      </c>
      <c r="C48" s="22" t="s">
        <v>103</v>
      </c>
      <c r="H48" s="35"/>
      <c r="I48" s="271"/>
      <c r="J48" s="271"/>
      <c r="K48" s="271"/>
      <c r="L48" s="271"/>
      <c r="M48" s="271"/>
      <c r="N48" s="271"/>
      <c r="O48" s="271"/>
      <c r="P48" s="271"/>
      <c r="Q48" s="271"/>
      <c r="R48" s="125"/>
    </row>
    <row r="49" spans="1:18" s="22" customFormat="1" ht="14.25" customHeight="1" x14ac:dyDescent="0.25">
      <c r="A49" s="21"/>
      <c r="B49" s="152"/>
      <c r="H49" s="35"/>
      <c r="I49" s="271"/>
      <c r="J49" s="271"/>
      <c r="K49" s="271"/>
      <c r="L49" s="271"/>
      <c r="M49" s="271"/>
      <c r="N49" s="271"/>
      <c r="O49" s="271"/>
      <c r="P49" s="271"/>
      <c r="Q49" s="271"/>
      <c r="R49" s="125"/>
    </row>
    <row r="50" spans="1:18" s="135" customFormat="1" ht="14.25" customHeight="1" x14ac:dyDescent="0.25">
      <c r="A50" s="132" t="s">
        <v>146</v>
      </c>
      <c r="B50" s="133"/>
      <c r="C50" s="132" t="s">
        <v>19</v>
      </c>
      <c r="D50" s="134"/>
      <c r="E50" s="134"/>
      <c r="F50" s="134"/>
      <c r="G50" s="134"/>
      <c r="H50" s="134"/>
      <c r="I50" s="134"/>
      <c r="J50" s="134"/>
      <c r="K50" s="134"/>
      <c r="L50" s="134"/>
      <c r="M50" s="134"/>
      <c r="N50" s="134"/>
      <c r="O50" s="134"/>
      <c r="P50" s="134"/>
      <c r="Q50" s="134"/>
    </row>
    <row r="51" spans="1:18" s="22" customFormat="1" ht="14.25" customHeight="1" x14ac:dyDescent="0.25">
      <c r="A51" s="148" t="s">
        <v>147</v>
      </c>
      <c r="B51" s="35"/>
      <c r="C51" s="22" t="s">
        <v>98</v>
      </c>
      <c r="H51" s="106">
        <f>'Technologie parameters'!C26</f>
        <v>2.9914182827597099E-2</v>
      </c>
      <c r="I51" s="106">
        <f>'Technologie parameters'!D26</f>
        <v>2.9914182827597099E-2</v>
      </c>
      <c r="J51" s="106">
        <f>'Technologie parameters'!E26</f>
        <v>2.9914182827597099E-2</v>
      </c>
      <c r="K51" s="106">
        <f>'Technologie parameters'!F26</f>
        <v>2.9914182827597099E-2</v>
      </c>
      <c r="L51" s="106">
        <f>'Technologie parameters'!G26</f>
        <v>3.02673864320675E-2</v>
      </c>
      <c r="M51" s="106">
        <f>'Technologie parameters'!H26</f>
        <v>3.0497761681024103E-2</v>
      </c>
      <c r="N51" s="106">
        <f>'Technologie parameters'!I26</f>
        <v>3.0852735628459003E-2</v>
      </c>
      <c r="O51" s="106">
        <f>'Technologie parameters'!J26</f>
        <v>3.10796689731642E-2</v>
      </c>
      <c r="P51" s="106">
        <f>'Technologie parameters'!K26</f>
        <v>3.17012623526274E-2</v>
      </c>
      <c r="Q51" s="106">
        <f>'Technologie parameters'!L26</f>
        <v>3.2335287599680004E-2</v>
      </c>
      <c r="R51" s="125"/>
    </row>
    <row r="52" spans="1:18" s="22" customFormat="1" ht="14.25" customHeight="1" x14ac:dyDescent="0.25">
      <c r="A52" s="148" t="s">
        <v>148</v>
      </c>
      <c r="B52" s="35"/>
      <c r="C52" s="22" t="s">
        <v>98</v>
      </c>
      <c r="H52" s="107">
        <f>'Technologie parameters'!C27</f>
        <v>1.0324492631999999E-3</v>
      </c>
      <c r="I52" s="107">
        <f>'Technologie parameters'!D27</f>
        <v>1.053098248464E-3</v>
      </c>
      <c r="J52" s="107">
        <f>'Technologie parameters'!E27</f>
        <v>1.0741602134332799E-3</v>
      </c>
      <c r="K52" s="107">
        <f>'Technologie parameters'!F27</f>
        <v>1.0956434177019456E-3</v>
      </c>
      <c r="L52" s="107">
        <f>'Technologie parameters'!G27</f>
        <v>1.1175562860559845E-3</v>
      </c>
      <c r="M52" s="107">
        <f>'Technologie parameters'!H27</f>
        <v>1.1399074117771043E-3</v>
      </c>
      <c r="N52" s="107">
        <f>'Technologie parameters'!I27</f>
        <v>1.1627055600126465E-3</v>
      </c>
      <c r="O52" s="107">
        <f>'Technologie parameters'!J27</f>
        <v>1.1859596712128994E-3</v>
      </c>
      <c r="P52" s="107">
        <f>'Technologie parameters'!K27</f>
        <v>1.2096788646371573E-3</v>
      </c>
      <c r="Q52" s="107">
        <f>'Technologie parameters'!L27</f>
        <v>1.2338724419299005E-3</v>
      </c>
      <c r="R52" s="125"/>
    </row>
    <row r="53" spans="1:18" s="22" customFormat="1" ht="14.25" customHeight="1" x14ac:dyDescent="0.25">
      <c r="A53" s="22" t="s">
        <v>149</v>
      </c>
      <c r="B53" s="35"/>
      <c r="C53" s="22" t="s">
        <v>98</v>
      </c>
      <c r="H53" s="152">
        <f t="shared" ref="H53:Q53" si="8">H51+H52</f>
        <v>3.0946632090797101E-2</v>
      </c>
      <c r="I53" s="152">
        <f t="shared" si="8"/>
        <v>3.0967281076061101E-2</v>
      </c>
      <c r="J53" s="152">
        <f t="shared" si="8"/>
        <v>3.0988343041030379E-2</v>
      </c>
      <c r="K53" s="152">
        <f t="shared" si="8"/>
        <v>3.1009826245299046E-2</v>
      </c>
      <c r="L53" s="152">
        <f t="shared" si="8"/>
        <v>3.1384942718123483E-2</v>
      </c>
      <c r="M53" s="152">
        <f t="shared" si="8"/>
        <v>3.1637669092801204E-2</v>
      </c>
      <c r="N53" s="152">
        <f t="shared" si="8"/>
        <v>3.2015441188471647E-2</v>
      </c>
      <c r="O53" s="152">
        <f t="shared" si="8"/>
        <v>3.2265628644377098E-2</v>
      </c>
      <c r="P53" s="152">
        <f t="shared" si="8"/>
        <v>3.291094121726456E-2</v>
      </c>
      <c r="Q53" s="152">
        <f t="shared" si="8"/>
        <v>3.3569160041609904E-2</v>
      </c>
      <c r="R53" s="125"/>
    </row>
    <row r="54" spans="1:18" s="22" customFormat="1" ht="14.25" customHeight="1" x14ac:dyDescent="0.25">
      <c r="B54" s="35"/>
      <c r="H54" s="35"/>
      <c r="I54" s="271"/>
      <c r="J54" s="271"/>
      <c r="K54" s="271"/>
      <c r="L54" s="271"/>
      <c r="M54" s="271"/>
      <c r="N54" s="271"/>
      <c r="O54" s="271"/>
      <c r="P54" s="271"/>
      <c r="Q54" s="271"/>
      <c r="R54" s="125"/>
    </row>
    <row r="55" spans="1:18" s="22" customFormat="1" ht="14.25" customHeight="1" x14ac:dyDescent="0.25">
      <c r="A55" s="22" t="s">
        <v>150</v>
      </c>
      <c r="B55" s="114"/>
      <c r="H55" s="35"/>
      <c r="I55" s="271"/>
      <c r="J55" s="271"/>
      <c r="K55" s="271"/>
      <c r="L55" s="271"/>
      <c r="M55" s="271"/>
      <c r="N55" s="271"/>
      <c r="O55" s="271"/>
      <c r="P55" s="271"/>
      <c r="Q55" s="271"/>
      <c r="R55" s="125"/>
    </row>
    <row r="56" spans="1:18" s="22" customFormat="1" ht="14.25" customHeight="1" x14ac:dyDescent="0.25">
      <c r="A56" s="159" t="s">
        <v>151</v>
      </c>
      <c r="B56" s="114"/>
      <c r="H56" s="102" t="s">
        <v>152</v>
      </c>
      <c r="I56" s="102" t="s">
        <v>152</v>
      </c>
      <c r="J56" s="102" t="s">
        <v>152</v>
      </c>
      <c r="K56" s="102" t="s">
        <v>152</v>
      </c>
      <c r="L56" s="102" t="s">
        <v>152</v>
      </c>
      <c r="M56" s="102" t="s">
        <v>152</v>
      </c>
      <c r="N56" s="102" t="s">
        <v>152</v>
      </c>
      <c r="O56" s="102" t="s">
        <v>152</v>
      </c>
      <c r="P56" s="102" t="s">
        <v>152</v>
      </c>
      <c r="Q56" s="102" t="s">
        <v>152</v>
      </c>
      <c r="R56" s="125"/>
    </row>
    <row r="57" spans="1:18" s="22" customFormat="1" ht="14.25" customHeight="1" x14ac:dyDescent="0.25">
      <c r="A57" s="159" t="s">
        <v>153</v>
      </c>
      <c r="B57" s="114"/>
      <c r="C57" s="22" t="s">
        <v>77</v>
      </c>
      <c r="H57" s="103">
        <f>'Technologie parameters'!C28</f>
        <v>87.5</v>
      </c>
      <c r="I57" s="103">
        <f>'Technologie parameters'!D28</f>
        <v>93.5</v>
      </c>
      <c r="J57" s="103">
        <f>'Technologie parameters'!E28</f>
        <v>99.5</v>
      </c>
      <c r="K57" s="103">
        <f>'Technologie parameters'!F28</f>
        <v>105.5</v>
      </c>
      <c r="L57" s="103">
        <f>'Technologie parameters'!G28</f>
        <v>111.5</v>
      </c>
      <c r="M57" s="103">
        <f>'Technologie parameters'!H28</f>
        <v>117.5</v>
      </c>
      <c r="N57" s="103">
        <f>'Technologie parameters'!I28</f>
        <v>123.5</v>
      </c>
      <c r="O57" s="103">
        <f>'Technologie parameters'!J28</f>
        <v>129.5</v>
      </c>
      <c r="P57" s="103">
        <f>'Technologie parameters'!K28</f>
        <v>135.5</v>
      </c>
      <c r="Q57" s="103">
        <f>'Technologie parameters'!L28</f>
        <v>141.5</v>
      </c>
      <c r="R57" s="125"/>
    </row>
    <row r="58" spans="1:18" s="22" customFormat="1" ht="14.25" customHeight="1" x14ac:dyDescent="0.25">
      <c r="A58" s="160" t="s">
        <v>101</v>
      </c>
      <c r="B58" s="114"/>
      <c r="C58" s="22" t="s">
        <v>77</v>
      </c>
      <c r="H58" s="103">
        <f>'Technologie parameters'!C29</f>
        <v>32.618529359275406</v>
      </c>
      <c r="I58" s="103">
        <f>'Technologie parameters'!D29</f>
        <v>44.361199928614553</v>
      </c>
      <c r="J58" s="103">
        <f>'Technologie parameters'!E29</f>
        <v>50.904476918085194</v>
      </c>
      <c r="K58" s="103">
        <f>'Technologie parameters'!F29</f>
        <v>63.460914557879548</v>
      </c>
      <c r="L58" s="103">
        <f>'Technologie parameters'!G29</f>
        <v>64.730132849037133</v>
      </c>
      <c r="M58" s="103">
        <f>'Technologie parameters'!H29</f>
        <v>66.024735506017876</v>
      </c>
      <c r="N58" s="103">
        <f>'Technologie parameters'!I29</f>
        <v>67.345230216138233</v>
      </c>
      <c r="O58" s="103">
        <f>'Technologie parameters'!J29</f>
        <v>68.692134820461007</v>
      </c>
      <c r="P58" s="103">
        <f>'Technologie parameters'!K29</f>
        <v>70.065977516870205</v>
      </c>
      <c r="Q58" s="103">
        <f>'Technologie parameters'!L29</f>
        <v>71.467297067207625</v>
      </c>
      <c r="R58" s="125"/>
    </row>
    <row r="59" spans="1:18" s="22" customFormat="1" ht="14.25" customHeight="1" x14ac:dyDescent="0.25">
      <c r="A59" s="160" t="s">
        <v>154</v>
      </c>
      <c r="B59" s="114"/>
      <c r="C59" s="161"/>
      <c r="D59" s="161"/>
      <c r="E59" s="161"/>
      <c r="F59" s="161"/>
      <c r="G59" s="21"/>
      <c r="H59" s="108">
        <v>0</v>
      </c>
      <c r="I59" s="108">
        <v>0</v>
      </c>
      <c r="J59" s="108">
        <v>0</v>
      </c>
      <c r="K59" s="108">
        <v>0</v>
      </c>
      <c r="L59" s="108">
        <v>0</v>
      </c>
      <c r="M59" s="108">
        <v>0</v>
      </c>
      <c r="N59" s="108">
        <v>0</v>
      </c>
      <c r="O59" s="108">
        <v>0</v>
      </c>
      <c r="P59" s="108">
        <v>0</v>
      </c>
      <c r="Q59" s="108">
        <v>0</v>
      </c>
      <c r="R59" s="125"/>
    </row>
    <row r="60" spans="1:18" s="22" customFormat="1" ht="14.25" customHeight="1" x14ac:dyDescent="0.25">
      <c r="A60" s="160"/>
      <c r="B60" s="162"/>
      <c r="C60" s="161"/>
      <c r="D60" s="161"/>
      <c r="E60" s="161"/>
      <c r="F60" s="161"/>
      <c r="G60" s="272"/>
      <c r="H60" s="272"/>
      <c r="I60" s="272"/>
      <c r="J60" s="272"/>
      <c r="K60" s="272"/>
      <c r="L60" s="272"/>
      <c r="M60" s="272"/>
      <c r="N60" s="272"/>
      <c r="O60" s="272"/>
      <c r="P60" s="272"/>
      <c r="Q60" s="272"/>
      <c r="R60" s="125"/>
    </row>
    <row r="61" spans="1:18" s="22" customFormat="1" ht="14.25" customHeight="1" x14ac:dyDescent="0.25">
      <c r="A61" s="160" t="s">
        <v>155</v>
      </c>
      <c r="B61" s="35"/>
      <c r="C61" s="21" t="s">
        <v>138</v>
      </c>
      <c r="D61" s="100">
        <v>0</v>
      </c>
      <c r="E61" s="100">
        <v>0</v>
      </c>
      <c r="F61" s="100">
        <v>0</v>
      </c>
      <c r="G61" s="100">
        <v>0</v>
      </c>
      <c r="H61" s="100">
        <v>0</v>
      </c>
      <c r="I61" s="100">
        <v>0</v>
      </c>
      <c r="J61" s="100">
        <v>0</v>
      </c>
      <c r="K61" s="100">
        <v>0</v>
      </c>
      <c r="L61" s="100">
        <v>0</v>
      </c>
      <c r="M61" s="100">
        <v>0</v>
      </c>
      <c r="N61" s="100">
        <v>0</v>
      </c>
      <c r="O61" s="100">
        <v>0</v>
      </c>
      <c r="P61" s="100">
        <v>0</v>
      </c>
      <c r="Q61" s="100">
        <v>0</v>
      </c>
      <c r="R61" s="125"/>
    </row>
    <row r="62" spans="1:18" s="22" customFormat="1" ht="14.25" customHeight="1" x14ac:dyDescent="0.25">
      <c r="A62" s="21" t="s">
        <v>156</v>
      </c>
      <c r="B62" s="35"/>
      <c r="C62" s="21" t="s">
        <v>81</v>
      </c>
      <c r="D62" s="139"/>
      <c r="E62" s="139"/>
      <c r="F62" s="139"/>
      <c r="G62" s="139"/>
      <c r="H62" s="109">
        <v>0</v>
      </c>
      <c r="I62" s="109">
        <v>0</v>
      </c>
      <c r="J62" s="109">
        <v>0</v>
      </c>
      <c r="K62" s="109">
        <v>0</v>
      </c>
      <c r="L62" s="109">
        <v>0</v>
      </c>
      <c r="M62" s="109">
        <v>0</v>
      </c>
      <c r="N62" s="109">
        <v>0</v>
      </c>
      <c r="O62" s="109">
        <v>0</v>
      </c>
      <c r="P62" s="109">
        <v>0</v>
      </c>
      <c r="Q62" s="109">
        <v>0</v>
      </c>
      <c r="R62" s="125"/>
    </row>
    <row r="63" spans="1:18" s="22" customFormat="1" ht="14.25" customHeight="1" x14ac:dyDescent="0.25">
      <c r="A63" s="21" t="s">
        <v>157</v>
      </c>
      <c r="B63" s="155"/>
      <c r="C63" s="161" t="s">
        <v>138</v>
      </c>
      <c r="D63" s="100">
        <v>0</v>
      </c>
      <c r="E63" s="100">
        <v>0</v>
      </c>
      <c r="F63" s="100">
        <v>0</v>
      </c>
      <c r="G63" s="100">
        <v>0</v>
      </c>
      <c r="H63" s="100">
        <v>0</v>
      </c>
      <c r="I63" s="100">
        <v>0</v>
      </c>
      <c r="J63" s="100">
        <v>0</v>
      </c>
      <c r="K63" s="100">
        <v>0</v>
      </c>
      <c r="L63" s="100">
        <v>0</v>
      </c>
      <c r="M63" s="100">
        <v>0</v>
      </c>
      <c r="N63" s="100">
        <v>0</v>
      </c>
      <c r="O63" s="100">
        <v>0</v>
      </c>
      <c r="P63" s="100">
        <v>0</v>
      </c>
      <c r="Q63" s="100">
        <v>0</v>
      </c>
      <c r="R63" s="125"/>
    </row>
    <row r="64" spans="1:18" s="22" customFormat="1" ht="14.25" customHeight="1" x14ac:dyDescent="0.25">
      <c r="A64" s="21"/>
      <c r="B64" s="155"/>
      <c r="C64" s="161"/>
      <c r="D64" s="161"/>
      <c r="E64" s="161"/>
      <c r="F64" s="161"/>
      <c r="G64" s="21"/>
      <c r="H64" s="270"/>
      <c r="I64" s="270"/>
      <c r="J64" s="270"/>
      <c r="K64" s="270"/>
      <c r="L64" s="270"/>
      <c r="M64" s="270"/>
      <c r="N64" s="270"/>
      <c r="O64" s="270"/>
      <c r="P64" s="270"/>
      <c r="Q64" s="270"/>
      <c r="R64" s="125"/>
    </row>
    <row r="65" spans="1:19" s="135" customFormat="1" ht="14.25" customHeight="1" x14ac:dyDescent="0.25">
      <c r="A65" s="132" t="s">
        <v>158</v>
      </c>
      <c r="B65" s="133"/>
      <c r="C65" s="132" t="s">
        <v>159</v>
      </c>
      <c r="D65" s="134"/>
      <c r="E65" s="134"/>
      <c r="F65" s="134"/>
      <c r="G65" s="134"/>
      <c r="H65" s="134"/>
      <c r="I65" s="134"/>
      <c r="J65" s="134"/>
      <c r="K65" s="134"/>
      <c r="L65" s="134"/>
      <c r="M65" s="134"/>
      <c r="N65" s="134"/>
      <c r="O65" s="134"/>
      <c r="P65" s="134"/>
      <c r="Q65" s="134"/>
    </row>
    <row r="66" spans="1:19" s="22" customFormat="1" ht="14.25" customHeight="1" x14ac:dyDescent="0.25">
      <c r="C66" s="112" t="s">
        <v>160</v>
      </c>
      <c r="D66" s="161"/>
      <c r="E66" s="161"/>
      <c r="F66" s="161"/>
      <c r="G66" s="21"/>
      <c r="H66" s="273">
        <f>IFERROR(IF(H56="ETS1",VLOOKUP($B$6,tech_param[],10,FALSE),IF(H56="ETS2",VLOOKUP($B$6,tech_param[],11,FALSE),VLOOKUP($B$6,tech_param[],12,FALSE))),"")</f>
        <v>233.8</v>
      </c>
      <c r="I66" s="273">
        <f>IFERROR(IF(I56="ETS1",VLOOKUP($B$6,tech_param[],10,FALSE),IF(I56="ETS2",VLOOKUP($B$6,tech_param[],11,FALSE),VLOOKUP($B$6,tech_param[],12,FALSE))),"")</f>
        <v>233.8</v>
      </c>
      <c r="J66" s="273">
        <f>IFERROR(IF(J56="ETS1",VLOOKUP($B$6,tech_param[],10,FALSE),IF(J56="ETS2",VLOOKUP($B$6,tech_param[],11,FALSE),VLOOKUP($B$6,tech_param[],12,FALSE))),"")</f>
        <v>233.8</v>
      </c>
      <c r="K66" s="273">
        <f>IFERROR(IF(K56="ETS1",VLOOKUP($B$6,tech_param[],10,FALSE),IF(K56="ETS2",VLOOKUP($B$6,tech_param[],11,FALSE),VLOOKUP($B$6,tech_param[],12,FALSE))),"")</f>
        <v>233.8</v>
      </c>
      <c r="L66" s="273">
        <f>IFERROR(IF(L56="ETS1",VLOOKUP($B$6,tech_param[],10,FALSE),IF(L56="ETS2",VLOOKUP($B$6,tech_param[],11,FALSE),VLOOKUP($B$6,tech_param[],12,FALSE))),"")</f>
        <v>233.8</v>
      </c>
      <c r="M66" s="273">
        <f>IFERROR(IF(M56="ETS1",VLOOKUP($B$6,tech_param[],10,FALSE),IF(M56="ETS2",VLOOKUP($B$6,tech_param[],11,FALSE),VLOOKUP($B$6,tech_param[],12,FALSE))),"")</f>
        <v>233.8</v>
      </c>
      <c r="N66" s="273">
        <f>IFERROR(IF(N56="ETS1",VLOOKUP($B$6,tech_param[],10,FALSE),IF(N56="ETS2",VLOOKUP($B$6,tech_param[],11,FALSE),VLOOKUP($B$6,tech_param[],12,FALSE))),"")</f>
        <v>233.8</v>
      </c>
      <c r="O66" s="273">
        <f>IFERROR(IF(O56="ETS1",VLOOKUP($B$6,tech_param[],10,FALSE),IF(O56="ETS2",VLOOKUP($B$6,tech_param[],11,FALSE),VLOOKUP($B$6,tech_param[],12,FALSE))),"")</f>
        <v>233.8</v>
      </c>
      <c r="P66" s="273">
        <f>IFERROR(IF(P56="ETS1",VLOOKUP($B$6,tech_param[],10,FALSE),IF(P56="ETS2",VLOOKUP($B$6,tech_param[],11,FALSE),VLOOKUP($B$6,tech_param[],12,FALSE))),"")</f>
        <v>233.8</v>
      </c>
      <c r="Q66" s="273">
        <f>IFERROR(IF(Q56="ETS1",VLOOKUP($B$6,tech_param[],10,FALSE),IF(Q56="ETS2",VLOOKUP($B$6,tech_param[],11,FALSE),VLOOKUP($B$6,tech_param[],12,FALSE))),"")</f>
        <v>233.8</v>
      </c>
      <c r="R66" s="125"/>
    </row>
    <row r="67" spans="1:19" s="22" customFormat="1" ht="14.25" customHeight="1" x14ac:dyDescent="0.25">
      <c r="A67" s="21"/>
      <c r="B67" s="155"/>
      <c r="C67" s="161"/>
      <c r="D67" s="161"/>
      <c r="E67" s="161"/>
      <c r="F67" s="161"/>
      <c r="G67" s="21"/>
      <c r="H67" s="272"/>
      <c r="I67" s="272"/>
      <c r="J67" s="272"/>
      <c r="K67" s="272"/>
      <c r="L67" s="272"/>
      <c r="M67" s="272"/>
      <c r="N67" s="272"/>
      <c r="O67" s="272"/>
      <c r="P67" s="272"/>
      <c r="Q67" s="272"/>
      <c r="R67" s="125"/>
    </row>
    <row r="68" spans="1:19" s="135" customFormat="1" ht="14.25" customHeight="1" x14ac:dyDescent="0.25">
      <c r="A68" s="132" t="s">
        <v>161</v>
      </c>
      <c r="B68" s="133" t="s">
        <v>18</v>
      </c>
      <c r="C68" s="132" t="s">
        <v>159</v>
      </c>
      <c r="D68" s="134"/>
      <c r="E68" s="134"/>
      <c r="F68" s="134"/>
      <c r="G68" s="134"/>
      <c r="H68" s="134"/>
      <c r="I68" s="134"/>
      <c r="J68" s="134"/>
      <c r="K68" s="134"/>
      <c r="L68" s="134"/>
      <c r="M68" s="134"/>
      <c r="N68" s="134"/>
      <c r="O68" s="134"/>
      <c r="P68" s="134"/>
      <c r="Q68" s="134"/>
    </row>
    <row r="69" spans="1:19" s="22" customFormat="1" ht="14.25" customHeight="1" x14ac:dyDescent="0.25">
      <c r="A69" s="22" t="s">
        <v>162</v>
      </c>
      <c r="B69" s="157">
        <f>'Algemene parameters'!$B$15</f>
        <v>0.22487999999999997</v>
      </c>
      <c r="C69" s="22" t="s">
        <v>163</v>
      </c>
      <c r="H69" s="125"/>
      <c r="I69" s="274"/>
      <c r="J69" s="125"/>
      <c r="K69" s="125"/>
      <c r="L69" s="125"/>
      <c r="M69" s="125"/>
      <c r="N69" s="125"/>
      <c r="O69" s="125"/>
      <c r="P69" s="125"/>
      <c r="Q69" s="125"/>
      <c r="R69" s="275"/>
    </row>
    <row r="70" spans="1:19" s="22" customFormat="1" ht="14.25" customHeight="1" x14ac:dyDescent="0.25">
      <c r="A70" s="22" t="s">
        <v>164</v>
      </c>
      <c r="B70" s="157">
        <f>IFERROR(_xlfn.XLOOKUP($B$7,tech_param[ID],tech_param[Emissiefactor elektriciteit]),"")</f>
        <v>0.15</v>
      </c>
      <c r="C70" s="22" t="s">
        <v>165</v>
      </c>
      <c r="I70" s="125"/>
      <c r="J70" s="275"/>
      <c r="K70" s="275"/>
      <c r="L70" s="275"/>
      <c r="M70" s="275"/>
      <c r="N70" s="275"/>
      <c r="O70" s="275"/>
      <c r="P70" s="275"/>
      <c r="Q70" s="275"/>
      <c r="R70" s="167"/>
    </row>
    <row r="71" spans="1:19" s="22" customFormat="1" ht="14.25" customHeight="1" x14ac:dyDescent="0.25">
      <c r="A71" s="112" t="s">
        <v>166</v>
      </c>
      <c r="B71" s="31">
        <f>IFERROR($B$69-$B$70/(IF($B$7=1,$B$23,B24)),"")</f>
        <v>0.19154666666666664</v>
      </c>
      <c r="C71" s="22" t="s">
        <v>163</v>
      </c>
      <c r="H71" s="31">
        <f t="shared" ref="H71:Q71" si="9">IFERROR($B$69-$B$70/(IF($B$7=1,$B$23,H24)),"")</f>
        <v>0.19154666666666664</v>
      </c>
      <c r="I71" s="31">
        <f t="shared" si="9"/>
        <v>0.19154666666666664</v>
      </c>
      <c r="J71" s="31">
        <f t="shared" si="9"/>
        <v>0.19154666666666664</v>
      </c>
      <c r="K71" s="31">
        <f t="shared" si="9"/>
        <v>0.19154666666666664</v>
      </c>
      <c r="L71" s="31">
        <f t="shared" si="9"/>
        <v>0.19154666666666664</v>
      </c>
      <c r="M71" s="31">
        <f t="shared" si="9"/>
        <v>0.19154666666666664</v>
      </c>
      <c r="N71" s="31">
        <f t="shared" si="9"/>
        <v>0.19154666666666664</v>
      </c>
      <c r="O71" s="31">
        <f t="shared" si="9"/>
        <v>0.19154666666666664</v>
      </c>
      <c r="P71" s="31">
        <f t="shared" si="9"/>
        <v>0.19154666666666664</v>
      </c>
      <c r="Q71" s="31">
        <f t="shared" si="9"/>
        <v>0.19154666666666664</v>
      </c>
      <c r="R71" s="125"/>
    </row>
    <row r="72" spans="1:19" s="22" customFormat="1" ht="14.25" customHeight="1" x14ac:dyDescent="0.25">
      <c r="H72" s="125"/>
      <c r="I72" s="125"/>
      <c r="J72" s="125"/>
      <c r="K72" s="125"/>
      <c r="L72" s="125"/>
      <c r="M72" s="125"/>
      <c r="N72" s="125"/>
      <c r="O72" s="125"/>
      <c r="P72" s="125"/>
      <c r="Q72" s="125"/>
      <c r="R72" s="125"/>
    </row>
    <row r="73" spans="1:19" s="135" customFormat="1" ht="14.25" customHeight="1" x14ac:dyDescent="0.25">
      <c r="A73" s="132" t="s">
        <v>36</v>
      </c>
      <c r="B73" s="133" t="s">
        <v>18</v>
      </c>
      <c r="C73" s="132" t="s">
        <v>19</v>
      </c>
      <c r="D73" s="134"/>
      <c r="E73" s="134"/>
      <c r="F73" s="134"/>
      <c r="G73" s="134"/>
      <c r="H73" s="134"/>
      <c r="I73" s="134"/>
      <c r="J73" s="134"/>
      <c r="K73" s="134"/>
      <c r="L73" s="134"/>
      <c r="M73" s="134"/>
      <c r="N73" s="134"/>
      <c r="O73" s="134"/>
      <c r="P73" s="134"/>
      <c r="Q73" s="134"/>
    </row>
    <row r="74" spans="1:19" s="22" customFormat="1" ht="14.25" customHeight="1" x14ac:dyDescent="0.25">
      <c r="A74" s="22" t="s">
        <v>60</v>
      </c>
      <c r="B74" s="168">
        <f>IFERROR(_xlfn.XLOOKUP($B$7,tech_param[ID],tech_param[Economische levensduur]),"")</f>
        <v>10</v>
      </c>
      <c r="C74" s="22" t="s">
        <v>38</v>
      </c>
      <c r="H74" s="125"/>
      <c r="I74" s="125"/>
      <c r="J74" s="125"/>
      <c r="K74" s="125"/>
      <c r="L74" s="125"/>
      <c r="M74" s="125"/>
      <c r="N74" s="125"/>
      <c r="O74" s="125"/>
      <c r="P74" s="125"/>
      <c r="Q74" s="125"/>
      <c r="R74" s="125"/>
    </row>
    <row r="75" spans="1:19" s="22" customFormat="1" ht="14.25" customHeight="1" x14ac:dyDescent="0.25">
      <c r="A75" s="22" t="s">
        <v>37</v>
      </c>
      <c r="B75" s="168">
        <v>10</v>
      </c>
      <c r="C75" s="22" t="s">
        <v>38</v>
      </c>
      <c r="H75" s="125"/>
      <c r="I75" s="125"/>
      <c r="J75" s="125"/>
      <c r="K75" s="125"/>
      <c r="L75" s="125"/>
      <c r="M75" s="125"/>
      <c r="N75" s="125"/>
      <c r="O75" s="125"/>
      <c r="P75" s="125"/>
      <c r="Q75" s="125"/>
      <c r="R75" s="125"/>
    </row>
    <row r="76" spans="1:19" s="22" customFormat="1" ht="14.25" customHeight="1" x14ac:dyDescent="0.25">
      <c r="A76" s="22" t="s">
        <v>167</v>
      </c>
      <c r="B76" s="168">
        <v>10</v>
      </c>
      <c r="C76" s="22" t="s">
        <v>38</v>
      </c>
      <c r="H76" s="125"/>
      <c r="I76" s="125"/>
      <c r="J76" s="125"/>
      <c r="K76" s="125"/>
      <c r="L76" s="125"/>
      <c r="M76" s="125"/>
      <c r="N76" s="125"/>
      <c r="O76" s="125"/>
      <c r="P76" s="125"/>
      <c r="Q76" s="125"/>
      <c r="R76" s="125"/>
    </row>
    <row r="77" spans="1:19" s="22" customFormat="1" ht="14.25" customHeight="1" x14ac:dyDescent="0.25">
      <c r="A77" s="22" t="s">
        <v>39</v>
      </c>
      <c r="B77" s="169">
        <f>'Algemene parameters'!B26</f>
        <v>0.02</v>
      </c>
      <c r="H77" s="125"/>
      <c r="I77" s="125"/>
      <c r="J77" s="125"/>
      <c r="K77" s="125"/>
      <c r="L77" s="125"/>
      <c r="M77" s="125"/>
      <c r="N77" s="125"/>
      <c r="O77" s="125"/>
      <c r="P77" s="125"/>
      <c r="Q77" s="125"/>
      <c r="R77" s="125"/>
      <c r="S77" s="112"/>
    </row>
    <row r="78" spans="1:19" s="22" customFormat="1" ht="14.25" customHeight="1" x14ac:dyDescent="0.25">
      <c r="A78" s="22" t="s">
        <v>41</v>
      </c>
      <c r="B78" s="169">
        <f>'Algemene parameters'!B27</f>
        <v>5.7500000000000002E-2</v>
      </c>
      <c r="H78" s="125"/>
      <c r="I78" s="272"/>
      <c r="J78" s="272"/>
      <c r="K78" s="272"/>
      <c r="L78" s="272"/>
      <c r="M78" s="272"/>
      <c r="N78" s="272"/>
      <c r="O78" s="272"/>
      <c r="P78" s="272"/>
      <c r="Q78" s="272"/>
      <c r="R78" s="125"/>
    </row>
    <row r="79" spans="1:19" s="22" customFormat="1" ht="14.25" customHeight="1" x14ac:dyDescent="0.25">
      <c r="A79" s="22" t="s">
        <v>43</v>
      </c>
      <c r="B79" s="169">
        <v>0.12</v>
      </c>
      <c r="C79" s="271"/>
      <c r="H79" s="125"/>
      <c r="I79" s="125"/>
      <c r="J79" s="125"/>
      <c r="K79" s="125"/>
      <c r="L79" s="125"/>
      <c r="M79" s="125"/>
      <c r="N79" s="125"/>
      <c r="O79" s="125"/>
      <c r="P79" s="125"/>
      <c r="Q79" s="125"/>
      <c r="R79" s="125"/>
    </row>
    <row r="80" spans="1:19" s="22" customFormat="1" ht="14.25" customHeight="1" x14ac:dyDescent="0.25">
      <c r="A80" s="22" t="s">
        <v>45</v>
      </c>
      <c r="B80" s="170">
        <f>'Algemene parameters'!B29</f>
        <v>0.58200000000000007</v>
      </c>
      <c r="H80" s="125"/>
      <c r="I80" s="125"/>
      <c r="J80" s="125"/>
      <c r="K80" s="125"/>
      <c r="L80" s="125"/>
      <c r="M80" s="125"/>
      <c r="N80" s="125"/>
      <c r="O80" s="125"/>
      <c r="P80" s="125"/>
      <c r="Q80" s="125"/>
      <c r="R80" s="125"/>
    </row>
    <row r="81" spans="1:18" s="22" customFormat="1" ht="14.25" customHeight="1" x14ac:dyDescent="0.25">
      <c r="A81" s="22" t="s">
        <v>47</v>
      </c>
      <c r="B81" s="170">
        <f>'Algemene parameters'!B30</f>
        <v>0.41799999999999998</v>
      </c>
      <c r="H81" s="125"/>
      <c r="I81" s="125"/>
      <c r="J81" s="125"/>
      <c r="K81" s="125"/>
      <c r="L81" s="125"/>
      <c r="M81" s="125"/>
      <c r="N81" s="125"/>
      <c r="O81" s="125"/>
      <c r="P81" s="125"/>
      <c r="Q81" s="125"/>
      <c r="R81" s="125"/>
    </row>
    <row r="82" spans="1:18" s="22" customFormat="1" ht="14.25" customHeight="1" x14ac:dyDescent="0.25">
      <c r="A82" s="22" t="s">
        <v>48</v>
      </c>
      <c r="B82" s="171">
        <f>'Algemene parameters'!B31</f>
        <v>0.25</v>
      </c>
      <c r="D82" s="35"/>
      <c r="E82" s="35"/>
      <c r="F82" s="35"/>
      <c r="G82" s="155"/>
      <c r="H82" s="110">
        <f t="shared" ref="H82:Q82" si="10">$B$82</f>
        <v>0.25</v>
      </c>
      <c r="I82" s="110">
        <f t="shared" si="10"/>
        <v>0.25</v>
      </c>
      <c r="J82" s="110">
        <f t="shared" si="10"/>
        <v>0.25</v>
      </c>
      <c r="K82" s="110">
        <f t="shared" si="10"/>
        <v>0.25</v>
      </c>
      <c r="L82" s="110">
        <f t="shared" si="10"/>
        <v>0.25</v>
      </c>
      <c r="M82" s="110">
        <f t="shared" si="10"/>
        <v>0.25</v>
      </c>
      <c r="N82" s="110">
        <f t="shared" si="10"/>
        <v>0.25</v>
      </c>
      <c r="O82" s="110">
        <f t="shared" si="10"/>
        <v>0.25</v>
      </c>
      <c r="P82" s="110">
        <f t="shared" si="10"/>
        <v>0.25</v>
      </c>
      <c r="Q82" s="110">
        <f t="shared" si="10"/>
        <v>0.25</v>
      </c>
    </row>
    <row r="83" spans="1:18" s="22" customFormat="1" ht="14.25" customHeight="1" x14ac:dyDescent="0.25">
      <c r="A83" s="22" t="s">
        <v>49</v>
      </c>
      <c r="B83" s="34">
        <f>($B$81*$B$79)+(($B$80*$B$78)*(1-B82))</f>
        <v>7.5258749999999999E-2</v>
      </c>
      <c r="D83" s="34">
        <f>E83</f>
        <v>7.5258749999999999E-2</v>
      </c>
      <c r="E83" s="34">
        <f>F83</f>
        <v>7.5258749999999999E-2</v>
      </c>
      <c r="F83" s="34">
        <f>G83</f>
        <v>7.5258749999999999E-2</v>
      </c>
      <c r="G83" s="172">
        <f>H83</f>
        <v>7.5258749999999999E-2</v>
      </c>
      <c r="H83" s="172">
        <f t="shared" ref="H83:Q83" si="11">($B$81*$B$79)+(($B$80*$B$78)*(1-H82))</f>
        <v>7.5258749999999999E-2</v>
      </c>
      <c r="I83" s="172">
        <f t="shared" si="11"/>
        <v>7.5258749999999999E-2</v>
      </c>
      <c r="J83" s="172">
        <f t="shared" si="11"/>
        <v>7.5258749999999999E-2</v>
      </c>
      <c r="K83" s="172">
        <f t="shared" si="11"/>
        <v>7.5258749999999999E-2</v>
      </c>
      <c r="L83" s="172">
        <f t="shared" si="11"/>
        <v>7.5258749999999999E-2</v>
      </c>
      <c r="M83" s="172">
        <f t="shared" si="11"/>
        <v>7.5258749999999999E-2</v>
      </c>
      <c r="N83" s="172">
        <f t="shared" si="11"/>
        <v>7.5258749999999999E-2</v>
      </c>
      <c r="O83" s="172">
        <f t="shared" si="11"/>
        <v>7.5258749999999999E-2</v>
      </c>
      <c r="P83" s="172">
        <f t="shared" si="11"/>
        <v>7.5258749999999999E-2</v>
      </c>
      <c r="Q83" s="172">
        <f t="shared" si="11"/>
        <v>7.5258749999999999E-2</v>
      </c>
    </row>
    <row r="84" spans="1:18" s="22" customFormat="1" ht="14.25" customHeight="1" x14ac:dyDescent="0.25">
      <c r="A84" s="159" t="s">
        <v>106</v>
      </c>
      <c r="B84" s="35"/>
      <c r="C84" s="21"/>
      <c r="D84" s="155"/>
      <c r="E84" s="155"/>
      <c r="F84" s="155"/>
      <c r="G84" s="172"/>
      <c r="H84" s="111">
        <v>4.4499999999999998E-2</v>
      </c>
      <c r="I84" s="111">
        <v>4.4499999999999998E-2</v>
      </c>
      <c r="J84" s="111">
        <v>4.4499999999999998E-2</v>
      </c>
      <c r="K84" s="111">
        <v>4.4499999999999998E-2</v>
      </c>
      <c r="L84" s="111">
        <v>4.4499999999999998E-2</v>
      </c>
      <c r="M84" s="111">
        <v>4.4499999999999998E-2</v>
      </c>
      <c r="N84" s="111">
        <v>4.4499999999999998E-2</v>
      </c>
      <c r="O84" s="111">
        <v>4.4499999999999998E-2</v>
      </c>
      <c r="P84" s="111">
        <v>4.4499999999999998E-2</v>
      </c>
      <c r="Q84" s="111">
        <v>4.4499999999999998E-2</v>
      </c>
      <c r="R84" s="125"/>
    </row>
    <row r="85" spans="1:18" s="22" customFormat="1" ht="14.25" customHeight="1" x14ac:dyDescent="0.25">
      <c r="B85" s="35"/>
      <c r="C85" s="21"/>
      <c r="D85" s="21"/>
      <c r="E85" s="21"/>
      <c r="F85" s="21"/>
      <c r="G85" s="276"/>
      <c r="H85" s="276"/>
      <c r="I85" s="276"/>
      <c r="J85" s="276"/>
      <c r="K85" s="276"/>
      <c r="L85" s="276"/>
      <c r="M85" s="276"/>
      <c r="N85" s="276"/>
      <c r="O85" s="276"/>
      <c r="P85" s="276"/>
      <c r="Q85" s="276"/>
      <c r="R85" s="125"/>
    </row>
    <row r="86" spans="1:18" s="22" customFormat="1" ht="14.25" customHeight="1" x14ac:dyDescent="0.25">
      <c r="B86" s="141"/>
      <c r="H86" s="125"/>
      <c r="I86" s="125"/>
      <c r="J86" s="125"/>
      <c r="K86" s="125"/>
      <c r="L86" s="125"/>
      <c r="M86" s="125"/>
      <c r="N86" s="125"/>
      <c r="O86" s="125"/>
      <c r="P86" s="125"/>
      <c r="Q86" s="125"/>
    </row>
    <row r="87" spans="1:18" s="22" customFormat="1" ht="14.25" customHeight="1" x14ac:dyDescent="0.25">
      <c r="A87" s="299" t="s">
        <v>168</v>
      </c>
      <c r="B87" s="35"/>
      <c r="C87" s="125"/>
      <c r="D87" s="125"/>
      <c r="E87" s="125"/>
      <c r="F87" s="125"/>
      <c r="G87" s="125"/>
      <c r="H87" s="174">
        <f t="shared" ref="H87:Q87" ca="1" si="12">IFERROR(H126,"")</f>
        <v>198078.11364006484</v>
      </c>
      <c r="I87" s="174">
        <f t="shared" ca="1" si="12"/>
        <v>180890.15526483511</v>
      </c>
      <c r="J87" s="174">
        <f t="shared" ca="1" si="12"/>
        <v>163722.74332210049</v>
      </c>
      <c r="K87" s="174">
        <f t="shared" ca="1" si="12"/>
        <v>146576.2887405114</v>
      </c>
      <c r="L87" s="174">
        <f t="shared" ca="1" si="12"/>
        <v>174619.86738058052</v>
      </c>
      <c r="M87" s="174">
        <f t="shared" ca="1" si="12"/>
        <v>151294.46381511143</v>
      </c>
      <c r="N87" s="174">
        <f t="shared" ca="1" si="12"/>
        <v>125701.8271027382</v>
      </c>
      <c r="O87" s="174">
        <f t="shared" ca="1" si="12"/>
        <v>102045.90379331517</v>
      </c>
      <c r="P87" s="174">
        <f t="shared" ca="1" si="12"/>
        <v>73124.815112633398</v>
      </c>
      <c r="Q87" s="174">
        <f t="shared" ca="1" si="12"/>
        <v>69410.914953203523</v>
      </c>
    </row>
    <row r="88" spans="1:18" s="22" customFormat="1" ht="14.25" customHeight="1" x14ac:dyDescent="0.25">
      <c r="A88" s="300"/>
      <c r="B88" s="35"/>
      <c r="C88" s="125"/>
      <c r="D88" s="125"/>
      <c r="E88" s="125"/>
      <c r="F88" s="125"/>
      <c r="G88" s="125"/>
      <c r="H88" s="126"/>
      <c r="I88" s="125"/>
      <c r="J88" s="125"/>
      <c r="K88" s="125"/>
      <c r="L88" s="125"/>
      <c r="M88" s="125"/>
      <c r="N88" s="125"/>
      <c r="O88" s="125"/>
      <c r="P88" s="125"/>
      <c r="Q88" s="125"/>
    </row>
    <row r="89" spans="1:18" s="22" customFormat="1" ht="14.25" customHeight="1" x14ac:dyDescent="0.25">
      <c r="B89" s="35"/>
    </row>
    <row r="90" spans="1:18" s="12" customFormat="1" ht="14.25" customHeight="1" x14ac:dyDescent="0.25">
      <c r="B90" s="32"/>
      <c r="C90" s="175"/>
      <c r="D90" s="175"/>
      <c r="E90" s="175"/>
      <c r="F90" s="175"/>
      <c r="G90" s="175"/>
      <c r="H90" s="176"/>
      <c r="I90" s="175"/>
      <c r="J90" s="175"/>
      <c r="K90" s="175"/>
      <c r="L90" s="175"/>
      <c r="M90" s="175"/>
      <c r="N90" s="175"/>
      <c r="O90" s="175"/>
      <c r="P90" s="175"/>
      <c r="Q90" s="175"/>
    </row>
    <row r="91" spans="1:18" s="12" customFormat="1" ht="14.25" customHeight="1" x14ac:dyDescent="0.25">
      <c r="B91" s="32"/>
      <c r="C91" s="175"/>
      <c r="D91" s="175"/>
      <c r="E91" s="175"/>
      <c r="F91" s="175"/>
      <c r="G91" s="175"/>
      <c r="H91" s="176"/>
      <c r="I91" s="175"/>
      <c r="J91" s="175"/>
      <c r="K91" s="175"/>
      <c r="L91" s="175"/>
      <c r="M91" s="175"/>
      <c r="N91" s="175"/>
      <c r="O91" s="175"/>
      <c r="P91" s="175"/>
      <c r="Q91" s="175"/>
    </row>
    <row r="92" spans="1:18" s="32" customFormat="1" ht="14.25" customHeight="1" x14ac:dyDescent="0.25">
      <c r="A92" s="177"/>
      <c r="C92" s="12"/>
      <c r="D92" s="12"/>
      <c r="E92" s="12"/>
      <c r="F92" s="12"/>
      <c r="G92" s="175"/>
      <c r="H92" s="178"/>
      <c r="I92" s="178"/>
      <c r="J92" s="178"/>
      <c r="K92" s="178"/>
      <c r="L92" s="178"/>
      <c r="M92" s="178"/>
      <c r="N92" s="178"/>
      <c r="O92" s="178"/>
      <c r="P92" s="178"/>
      <c r="Q92" s="178"/>
    </row>
    <row r="93" spans="1:18" s="15" customFormat="1" ht="14.25" customHeight="1" x14ac:dyDescent="0.25">
      <c r="A93" s="13" t="s">
        <v>169</v>
      </c>
      <c r="B93" s="13"/>
      <c r="C93" s="13"/>
      <c r="D93" s="13"/>
      <c r="E93" s="13"/>
      <c r="F93" s="13"/>
      <c r="G93" s="13"/>
      <c r="H93" s="13"/>
      <c r="I93" s="13"/>
      <c r="J93" s="13"/>
    </row>
    <row r="94" spans="1:18" s="22" customFormat="1" ht="14.25" customHeight="1" x14ac:dyDescent="0.25">
      <c r="A94" s="290" t="s">
        <v>117</v>
      </c>
      <c r="B94" s="291"/>
      <c r="C94" s="291"/>
      <c r="D94" s="291"/>
      <c r="E94" s="291"/>
      <c r="F94" s="291"/>
      <c r="G94" s="291"/>
      <c r="H94" s="291"/>
      <c r="I94" s="291"/>
      <c r="J94" s="291"/>
      <c r="K94" s="291"/>
      <c r="L94" s="291"/>
      <c r="M94" s="291"/>
      <c r="N94" s="294"/>
      <c r="O94" s="294"/>
      <c r="P94" s="294"/>
      <c r="Q94" s="294"/>
    </row>
    <row r="95" spans="1:18" s="112" customFormat="1" ht="14.25" customHeight="1" x14ac:dyDescent="0.25">
      <c r="A95" s="22"/>
      <c r="B95" s="35"/>
      <c r="C95" s="22"/>
      <c r="D95" s="22"/>
      <c r="E95" s="22"/>
      <c r="F95" s="22"/>
      <c r="G95" s="22"/>
      <c r="H95" s="22"/>
      <c r="I95" s="22"/>
      <c r="J95" s="22"/>
      <c r="K95" s="22"/>
      <c r="L95" s="22"/>
      <c r="M95" s="22"/>
      <c r="N95" s="22"/>
      <c r="O95" s="22"/>
      <c r="P95" s="22"/>
      <c r="Q95" s="22"/>
    </row>
    <row r="96" spans="1:18" s="112" customFormat="1" ht="14.25" customHeight="1" x14ac:dyDescent="0.25">
      <c r="A96" s="179" t="s">
        <v>170</v>
      </c>
      <c r="B96" s="179"/>
      <c r="C96" s="180"/>
      <c r="D96" s="180">
        <v>-4</v>
      </c>
      <c r="E96" s="180">
        <v>-3</v>
      </c>
      <c r="F96" s="180">
        <v>-2</v>
      </c>
      <c r="G96" s="180">
        <v>-1</v>
      </c>
      <c r="H96" s="180">
        <v>1</v>
      </c>
      <c r="I96" s="180">
        <v>2</v>
      </c>
      <c r="J96" s="180">
        <v>3</v>
      </c>
      <c r="K96" s="180">
        <v>4</v>
      </c>
      <c r="L96" s="180">
        <v>5</v>
      </c>
      <c r="M96" s="180">
        <v>6</v>
      </c>
      <c r="N96" s="180">
        <v>7</v>
      </c>
      <c r="O96" s="180">
        <v>8</v>
      </c>
      <c r="P96" s="180">
        <v>9</v>
      </c>
      <c r="Q96" s="180">
        <v>10</v>
      </c>
    </row>
    <row r="97" spans="1:17" s="153" customFormat="1" ht="14.25" customHeight="1" x14ac:dyDescent="0.25">
      <c r="A97" s="181" t="s">
        <v>171</v>
      </c>
      <c r="B97" s="155"/>
      <c r="C97" s="182"/>
      <c r="D97" s="182"/>
      <c r="E97" s="182"/>
      <c r="F97" s="182"/>
      <c r="G97" s="182"/>
      <c r="H97" s="182">
        <f t="shared" ref="H97:Q97" si="13">POWER(1+$B$77,H96-$H$96)</f>
        <v>1</v>
      </c>
      <c r="I97" s="182">
        <f t="shared" si="13"/>
        <v>1.02</v>
      </c>
      <c r="J97" s="182">
        <f t="shared" si="13"/>
        <v>1.0404</v>
      </c>
      <c r="K97" s="182">
        <f t="shared" si="13"/>
        <v>1.0612079999999999</v>
      </c>
      <c r="L97" s="182">
        <f t="shared" si="13"/>
        <v>1.08243216</v>
      </c>
      <c r="M97" s="182">
        <f t="shared" si="13"/>
        <v>1.1040808032</v>
      </c>
      <c r="N97" s="182">
        <f t="shared" si="13"/>
        <v>1.1261624192640001</v>
      </c>
      <c r="O97" s="182">
        <f t="shared" si="13"/>
        <v>1.1486856676492798</v>
      </c>
      <c r="P97" s="182">
        <f t="shared" si="13"/>
        <v>1.1716593810022655</v>
      </c>
      <c r="Q97" s="182">
        <f t="shared" si="13"/>
        <v>1.1950925686223108</v>
      </c>
    </row>
    <row r="98" spans="1:17" s="183" customFormat="1" ht="14.25" customHeight="1" x14ac:dyDescent="0.25">
      <c r="B98" s="184"/>
      <c r="C98" s="185"/>
      <c r="D98" s="185"/>
      <c r="E98" s="185"/>
      <c r="F98" s="185"/>
      <c r="G98" s="185"/>
      <c r="H98" s="186"/>
      <c r="I98" s="185"/>
      <c r="J98" s="185"/>
      <c r="K98" s="185"/>
      <c r="L98" s="185"/>
      <c r="M98" s="185"/>
      <c r="N98" s="185"/>
      <c r="O98" s="185"/>
      <c r="P98" s="185"/>
      <c r="Q98" s="185"/>
    </row>
    <row r="99" spans="1:17" s="21" customFormat="1" ht="14.25" customHeight="1" x14ac:dyDescent="0.25">
      <c r="A99" s="181" t="s">
        <v>172</v>
      </c>
      <c r="B99" s="155"/>
      <c r="C99" s="132" t="s">
        <v>159</v>
      </c>
      <c r="D99" s="155"/>
      <c r="E99" s="155"/>
      <c r="F99" s="155"/>
      <c r="G99" s="155"/>
      <c r="H99" s="155"/>
      <c r="I99" s="155"/>
      <c r="J99" s="155"/>
      <c r="K99" s="155"/>
      <c r="L99" s="155"/>
      <c r="M99" s="155"/>
      <c r="N99" s="155"/>
      <c r="O99" s="155"/>
      <c r="P99" s="155"/>
      <c r="Q99" s="155"/>
    </row>
    <row r="100" spans="1:17" s="183" customFormat="1" ht="14.25" customHeight="1" x14ac:dyDescent="0.25">
      <c r="A100" s="187" t="s">
        <v>173</v>
      </c>
      <c r="B100" s="187"/>
      <c r="C100" s="187"/>
      <c r="D100" s="187"/>
      <c r="E100" s="187"/>
      <c r="F100" s="187"/>
      <c r="G100" s="187"/>
      <c r="H100" s="187"/>
      <c r="I100" s="187"/>
      <c r="J100" s="187"/>
      <c r="K100" s="187"/>
      <c r="L100" s="187"/>
      <c r="M100" s="187"/>
      <c r="N100" s="187"/>
      <c r="O100" s="187"/>
      <c r="P100" s="187"/>
      <c r="Q100" s="187"/>
    </row>
    <row r="101" spans="1:17" s="183" customFormat="1" ht="14.25" customHeight="1" x14ac:dyDescent="0.35">
      <c r="A101" s="183" t="s">
        <v>174</v>
      </c>
      <c r="B101" s="188"/>
      <c r="C101" s="183" t="s">
        <v>175</v>
      </c>
      <c r="H101" s="189">
        <f>H53*35.17/31.65/'Algemene parameters'!$B$14</f>
        <v>3.8209340025744574E-2</v>
      </c>
      <c r="I101" s="189">
        <f>I53*35.17/31.65/'Algemene parameters'!$B$14</f>
        <v>3.8234835016502329E-2</v>
      </c>
      <c r="J101" s="189">
        <f>J53*35.17/31.65/'Algemene parameters'!$B$14</f>
        <v>3.8260839907075253E-2</v>
      </c>
      <c r="K101" s="189">
        <f>K53*35.17/31.65/'Algemene parameters'!$B$14</f>
        <v>3.8287364895459634E-2</v>
      </c>
      <c r="L101" s="189">
        <f>L53*35.17/31.65/'Algemene parameters'!$B$14</f>
        <v>3.875051554840804E-2</v>
      </c>
      <c r="M101" s="189">
        <f>M53*35.17/31.65/'Algemene parameters'!$B$14</f>
        <v>3.9062552992586222E-2</v>
      </c>
      <c r="N101" s="189">
        <f>N53*35.17/31.65/'Algemene parameters'!$B$14</f>
        <v>3.9528982503020817E-2</v>
      </c>
      <c r="O101" s="189">
        <f>O53*35.17/31.65/'Algemene parameters'!$B$14</f>
        <v>3.9837885182472971E-2</v>
      </c>
      <c r="P101" s="189">
        <f>P53*35.17/31.65/'Algemene parameters'!$B$14</f>
        <v>4.0634642886122334E-2</v>
      </c>
      <c r="Q101" s="189">
        <f>Q53*35.17/31.65/'Algemene parameters'!$B$14</f>
        <v>4.1447335743844842E-2</v>
      </c>
    </row>
    <row r="102" spans="1:17" s="183" customFormat="1" ht="14.25" customHeight="1" x14ac:dyDescent="0.25">
      <c r="A102" s="187" t="s">
        <v>176</v>
      </c>
      <c r="B102" s="187"/>
      <c r="C102" s="187"/>
      <c r="D102" s="187"/>
      <c r="E102" s="187"/>
      <c r="F102" s="187"/>
      <c r="G102" s="187"/>
      <c r="H102" s="190"/>
      <c r="I102" s="190"/>
      <c r="J102" s="190"/>
      <c r="K102" s="190"/>
      <c r="L102" s="190"/>
      <c r="M102" s="190"/>
      <c r="N102" s="190"/>
      <c r="O102" s="190"/>
      <c r="P102" s="190"/>
      <c r="Q102" s="190"/>
    </row>
    <row r="103" spans="1:17" s="183" customFormat="1" ht="14.25" customHeight="1" x14ac:dyDescent="0.35">
      <c r="A103" s="183" t="s">
        <v>177</v>
      </c>
      <c r="B103" s="191"/>
      <c r="C103" s="183" t="s">
        <v>175</v>
      </c>
      <c r="H103" s="192" cm="1">
        <f t="array" ref="H103">_xlfn.IFS(H56="ETS1",(MIN(H57,'Algemene parameters'!$B$10)/1000*'Algemene parameters'!$B$12*0.0036/'Algemene parameters'!$B$14),H56="ETS2",(MIN(H58,'Algemene parameters'!$B$11)/1000*'Algemene parameters'!$B$12*0.0036/'Algemene parameters'!$B$14),TRUE,0)</f>
        <v>1.9677E-2</v>
      </c>
      <c r="I103" s="192" cm="1">
        <f t="array" ref="I103">_xlfn.IFS(I56="ETS1",(MIN(I57,'Algemene parameters'!$B$10)/1000*'Algemene parameters'!$B$12*0.0036/'Algemene parameters'!$B$14),I56="ETS2",(MIN(I58,'Algemene parameters'!$B$11)/1000*'Algemene parameters'!$B$12*0.0036/'Algemene parameters'!$B$14),TRUE,0)</f>
        <v>2.1026279999999998E-2</v>
      </c>
      <c r="J103" s="192" cm="1">
        <f t="array" ref="J103">_xlfn.IFS(J56="ETS1",(MIN(J57,'Algemene parameters'!$B$10)/1000*'Algemene parameters'!$B$12*0.0036/'Algemene parameters'!$B$14),J56="ETS2",(MIN(J58,'Algemene parameters'!$B$11)/1000*'Algemene parameters'!$B$12*0.0036/'Algemene parameters'!$B$14),TRUE,0)</f>
        <v>2.2375559999999999E-2</v>
      </c>
      <c r="K103" s="192" cm="1">
        <f t="array" ref="K103">_xlfn.IFS(K56="ETS1",(MIN(K57,'Algemene parameters'!$B$10)/1000*'Algemene parameters'!$B$12*0.0036/'Algemene parameters'!$B$14),K56="ETS2",(MIN(K58,'Algemene parameters'!$B$11)/1000*'Algemene parameters'!$B$12*0.0036/'Algemene parameters'!$B$14),TRUE,0)</f>
        <v>2.3724839999999997E-2</v>
      </c>
      <c r="L103" s="192" cm="1">
        <f t="array" ref="L103">_xlfn.IFS(L56="ETS1",(MIN(L57,'Algemene parameters'!$B$10)/1000*'Algemene parameters'!$B$12*0.0036/'Algemene parameters'!$B$14),L56="ETS2",(MIN(L58,'Algemene parameters'!$B$11)/1000*'Algemene parameters'!$B$12*0.0036/'Algemene parameters'!$B$14),TRUE,0)</f>
        <v>2.5074120000000002E-2</v>
      </c>
      <c r="M103" s="192" cm="1">
        <f t="array" ref="M103">_xlfn.IFS(M56="ETS1",(MIN(M57,'Algemene parameters'!$B$10)/1000*'Algemene parameters'!$B$12*0.0036/'Algemene parameters'!$B$14),M56="ETS2",(MIN(M58,'Algemene parameters'!$B$11)/1000*'Algemene parameters'!$B$12*0.0036/'Algemene parameters'!$B$14),TRUE,0)</f>
        <v>2.6423399999999996E-2</v>
      </c>
      <c r="N103" s="192" cm="1">
        <f t="array" ref="N103">_xlfn.IFS(N56="ETS1",(MIN(N57,'Algemene parameters'!$B$10)/1000*'Algemene parameters'!$B$12*0.0036/'Algemene parameters'!$B$14),N56="ETS2",(MIN(N58,'Algemene parameters'!$B$11)/1000*'Algemene parameters'!$B$12*0.0036/'Algemene parameters'!$B$14),TRUE,0)</f>
        <v>2.7772679999999998E-2</v>
      </c>
      <c r="O103" s="192" cm="1">
        <f t="array" ref="O103">_xlfn.IFS(O56="ETS1",(MIN(O57,'Algemene parameters'!$B$10)/1000*'Algemene parameters'!$B$12*0.0036/'Algemene parameters'!$B$14),O56="ETS2",(MIN(O58,'Algemene parameters'!$B$11)/1000*'Algemene parameters'!$B$12*0.0036/'Algemene parameters'!$B$14),TRUE,0)</f>
        <v>2.9121959999999999E-2</v>
      </c>
      <c r="P103" s="192" cm="1">
        <f t="array" ref="P103">_xlfn.IFS(P56="ETS1",(MIN(P57,'Algemene parameters'!$B$10)/1000*'Algemene parameters'!$B$12*0.0036/'Algemene parameters'!$B$14),P56="ETS2",(MIN(P58,'Algemene parameters'!$B$11)/1000*'Algemene parameters'!$B$12*0.0036/'Algemene parameters'!$B$14),TRUE,0)</f>
        <v>3.0358799999999998E-2</v>
      </c>
      <c r="Q103" s="192" cm="1">
        <f t="array" ref="Q103">_xlfn.IFS(Q56="ETS1",(MIN(Q57,'Algemene parameters'!$B$10)/1000*'Algemene parameters'!$B$12*0.0036/'Algemene parameters'!$B$14),Q56="ETS2",(MIN(Q58,'Algemene parameters'!$B$11)/1000*'Algemene parameters'!$B$12*0.0036/'Algemene parameters'!$B$14),TRUE,0)</f>
        <v>3.0358799999999998E-2</v>
      </c>
    </row>
    <row r="104" spans="1:17" s="183" customFormat="1" ht="14.25" customHeight="1" x14ac:dyDescent="0.35">
      <c r="A104" s="183" t="s">
        <v>178</v>
      </c>
      <c r="B104" s="191"/>
      <c r="C104" s="183" t="s">
        <v>175</v>
      </c>
      <c r="H104" s="192">
        <f t="shared" ref="H104:Q104" si="14">H103*(1-H59)</f>
        <v>1.9677E-2</v>
      </c>
      <c r="I104" s="192">
        <f t="shared" si="14"/>
        <v>2.1026279999999998E-2</v>
      </c>
      <c r="J104" s="192">
        <f t="shared" si="14"/>
        <v>2.2375559999999999E-2</v>
      </c>
      <c r="K104" s="192">
        <f t="shared" si="14"/>
        <v>2.3724839999999997E-2</v>
      </c>
      <c r="L104" s="192">
        <f t="shared" si="14"/>
        <v>2.5074120000000002E-2</v>
      </c>
      <c r="M104" s="192">
        <f t="shared" si="14"/>
        <v>2.6423399999999996E-2</v>
      </c>
      <c r="N104" s="192">
        <f t="shared" si="14"/>
        <v>2.7772679999999998E-2</v>
      </c>
      <c r="O104" s="192">
        <f t="shared" si="14"/>
        <v>2.9121959999999999E-2</v>
      </c>
      <c r="P104" s="192">
        <f t="shared" si="14"/>
        <v>3.0358799999999998E-2</v>
      </c>
      <c r="Q104" s="192">
        <f t="shared" si="14"/>
        <v>3.0358799999999998E-2</v>
      </c>
    </row>
    <row r="105" spans="1:17" s="183" customFormat="1" ht="14.25" customHeight="1" x14ac:dyDescent="0.25">
      <c r="A105" s="187" t="s">
        <v>179</v>
      </c>
      <c r="B105" s="187"/>
      <c r="C105" s="187"/>
      <c r="D105" s="187"/>
      <c r="E105" s="187"/>
      <c r="F105" s="187"/>
      <c r="G105" s="187"/>
      <c r="H105" s="190"/>
      <c r="I105" s="190"/>
      <c r="J105" s="190"/>
      <c r="K105" s="190"/>
      <c r="L105" s="190"/>
      <c r="M105" s="190"/>
      <c r="N105" s="190"/>
      <c r="O105" s="190"/>
      <c r="P105" s="190"/>
      <c r="Q105" s="190"/>
    </row>
    <row r="106" spans="1:17" s="183" customFormat="1" ht="14.25" customHeight="1" x14ac:dyDescent="0.35">
      <c r="A106" s="193" t="s">
        <v>180</v>
      </c>
      <c r="B106" s="184"/>
      <c r="C106" s="183" t="s">
        <v>81</v>
      </c>
      <c r="H106" s="192">
        <f ca="1">IFERROR($B$39*(VLOOKUP($B$6,'Technologie parameters'!$A9:$S15,14,FALSE)-ABS(H38))/H31,"")</f>
        <v>1.4377256386399987E-3</v>
      </c>
      <c r="I106" s="192">
        <f ca="1">IFERROR($B$39*(VLOOKUP($B$6,'Technologie parameters'!$A9:$S15,14,FALSE)-ABS(I38))/I31,"")</f>
        <v>1.1349576386399983E-3</v>
      </c>
      <c r="J106" s="192">
        <f ca="1">IFERROR($B$39*(VLOOKUP($B$6,'Technologie parameters'!$A9:$S15,14,FALSE)-ABS(J38))/J31,"")</f>
        <v>8.2613427863999786E-4</v>
      </c>
      <c r="K106" s="192">
        <f ca="1">IFERROR($B$39*(VLOOKUP($B$6,'Technologie parameters'!$A9:$S15,14,FALSE)-ABS(K38))/K31,"")</f>
        <v>5.1113445143999791E-4</v>
      </c>
      <c r="L106" s="192">
        <f ca="1">IFERROR($B$39*(VLOOKUP($B$6,'Technologie parameters'!$A9:$S15,14,FALSE)-ABS(L38))/L31,"")</f>
        <v>1.898346276959965E-4</v>
      </c>
      <c r="M106" s="192">
        <f ca="1">IFERROR($B$39*(VLOOKUP($B$6,'Technologie parameters'!$A9:$S15,14,FALSE)-ABS(M38))/M31,"")</f>
        <v>-1.378911925228839E-4</v>
      </c>
      <c r="N106" s="192">
        <f ca="1">IFERROR($B$39*(VLOOKUP($B$6,'Technologie parameters'!$A9:$S15,14,FALSE)-ABS(N38))/N31,"")</f>
        <v>-4.7217152914614266E-4</v>
      </c>
      <c r="O106" s="192">
        <f ca="1">IFERROR($B$39*(VLOOKUP($B$6,'Technologie parameters'!$A9:$S15,14,FALSE)-ABS(O38))/O31,"")</f>
        <v>-8.1313747250186686E-4</v>
      </c>
      <c r="P106" s="192">
        <f ca="1">IFERROR($B$39*(VLOOKUP($B$6,'Technologie parameters'!$A9:$S15,14,FALSE)-ABS(P38))/P31,"")</f>
        <v>-1.1609227347247047E-3</v>
      </c>
      <c r="Q106" s="192">
        <f ca="1">IFERROR($B$39*(VLOOKUP($B$6,'Technologie parameters'!$A9:$S15,14,FALSE)-ABS(Q38))/Q31,"")</f>
        <v>-1.5156637021919981E-3</v>
      </c>
    </row>
    <row r="107" spans="1:17" s="183" customFormat="1" ht="14.25" customHeight="1" x14ac:dyDescent="0.35">
      <c r="A107" s="193" t="s">
        <v>181</v>
      </c>
      <c r="B107" s="184"/>
      <c r="C107" s="183" t="s">
        <v>81</v>
      </c>
      <c r="H107" s="192">
        <f t="shared" ref="H107:Q107" si="15">IFERROR($B$48-H46,"")</f>
        <v>1.6831706365487836E-2</v>
      </c>
      <c r="I107" s="192">
        <f t="shared" si="15"/>
        <v>1.6677306365487837E-2</v>
      </c>
      <c r="J107" s="192">
        <f t="shared" si="15"/>
        <v>1.651981836548784E-2</v>
      </c>
      <c r="K107" s="192">
        <f t="shared" si="15"/>
        <v>1.6359180605487841E-2</v>
      </c>
      <c r="L107" s="192">
        <f t="shared" si="15"/>
        <v>-8.2331705572569192E-4</v>
      </c>
      <c r="M107" s="192">
        <f t="shared" si="15"/>
        <v>-1.9638521248559193E-4</v>
      </c>
      <c r="N107" s="192">
        <f t="shared" si="15"/>
        <v>4.9808123130642978E-4</v>
      </c>
      <c r="O107" s="192">
        <f t="shared" si="15"/>
        <v>1.2625328869351748E-3</v>
      </c>
      <c r="P107" s="192">
        <f t="shared" si="15"/>
        <v>2.0994913762964335E-3</v>
      </c>
      <c r="Q107" s="192">
        <f t="shared" si="15"/>
        <v>3.5081203822368012E-5</v>
      </c>
    </row>
    <row r="108" spans="1:17" s="183" customFormat="1" ht="14.25" customHeight="1" x14ac:dyDescent="0.35">
      <c r="A108" s="193" t="s">
        <v>182</v>
      </c>
      <c r="B108" s="184"/>
      <c r="C108" s="183" t="s">
        <v>81</v>
      </c>
      <c r="H108" s="192">
        <f t="shared" ref="H108:Q108" ca="1" si="16">IFERROR(H106+H107,"")</f>
        <v>1.8269432004127836E-2</v>
      </c>
      <c r="I108" s="192">
        <f t="shared" ca="1" si="16"/>
        <v>1.7812264004127835E-2</v>
      </c>
      <c r="J108" s="192">
        <f t="shared" ca="1" si="16"/>
        <v>1.7345952644127839E-2</v>
      </c>
      <c r="K108" s="192">
        <f t="shared" ca="1" si="16"/>
        <v>1.6870315056927838E-2</v>
      </c>
      <c r="L108" s="192">
        <f t="shared" ca="1" si="16"/>
        <v>-6.3348242802969545E-4</v>
      </c>
      <c r="M108" s="192">
        <f t="shared" ca="1" si="16"/>
        <v>-3.3427640500847586E-4</v>
      </c>
      <c r="N108" s="192">
        <f t="shared" ca="1" si="16"/>
        <v>2.590970216028712E-5</v>
      </c>
      <c r="O108" s="192">
        <f t="shared" ca="1" si="16"/>
        <v>4.4939541443330799E-4</v>
      </c>
      <c r="P108" s="192">
        <f t="shared" ca="1" si="16"/>
        <v>9.3856864157172877E-4</v>
      </c>
      <c r="Q108" s="192">
        <f t="shared" ca="1" si="16"/>
        <v>-1.4805824983696301E-3</v>
      </c>
    </row>
    <row r="109" spans="1:17" s="183" customFormat="1" ht="13.9" customHeight="1" x14ac:dyDescent="0.35">
      <c r="A109" s="193" t="s">
        <v>183</v>
      </c>
      <c r="B109" s="184"/>
      <c r="C109" s="183" t="s">
        <v>175</v>
      </c>
      <c r="H109" s="192">
        <f t="shared" ref="H109:Q109" ca="1" si="17">IFERROR(IF($B$7=1,H108/$B$23,H108/H24),"")</f>
        <v>4.0598737786950749E-3</v>
      </c>
      <c r="I109" s="192">
        <f t="shared" ca="1" si="17"/>
        <v>3.9582808898061851E-3</v>
      </c>
      <c r="J109" s="192">
        <f t="shared" ca="1" si="17"/>
        <v>3.8546561431395199E-3</v>
      </c>
      <c r="K109" s="192">
        <f t="shared" ca="1" si="17"/>
        <v>3.7489589015395194E-3</v>
      </c>
      <c r="L109" s="192">
        <f t="shared" ca="1" si="17"/>
        <v>-1.4077387289548787E-4</v>
      </c>
      <c r="M109" s="192">
        <f t="shared" ca="1" si="17"/>
        <v>-7.4283645557439082E-5</v>
      </c>
      <c r="N109" s="192">
        <f t="shared" ca="1" si="17"/>
        <v>5.7577115911749159E-6</v>
      </c>
      <c r="O109" s="192">
        <f t="shared" ca="1" si="17"/>
        <v>9.9865647651846222E-5</v>
      </c>
      <c r="P109" s="192">
        <f t="shared" ca="1" si="17"/>
        <v>2.0857080923816196E-4</v>
      </c>
      <c r="Q109" s="192">
        <f t="shared" ca="1" si="17"/>
        <v>-3.2901833297102894E-4</v>
      </c>
    </row>
    <row r="110" spans="1:17" s="183" customFormat="1" ht="13.9" customHeight="1" x14ac:dyDescent="0.25">
      <c r="A110" s="187" t="s">
        <v>184</v>
      </c>
      <c r="B110" s="187"/>
      <c r="C110" s="187"/>
      <c r="D110" s="187"/>
      <c r="E110" s="187"/>
      <c r="F110" s="187"/>
      <c r="G110" s="187"/>
      <c r="H110" s="190"/>
      <c r="I110" s="190"/>
      <c r="J110" s="190"/>
      <c r="K110" s="190"/>
      <c r="L110" s="190"/>
      <c r="M110" s="190"/>
      <c r="N110" s="190"/>
      <c r="O110" s="190"/>
      <c r="P110" s="190"/>
      <c r="Q110" s="190"/>
    </row>
    <row r="111" spans="1:17" s="183" customFormat="1" ht="14.25" customHeight="1" x14ac:dyDescent="0.35">
      <c r="A111" s="193" t="s">
        <v>185</v>
      </c>
      <c r="B111" s="184"/>
      <c r="C111" s="183" t="s">
        <v>175</v>
      </c>
      <c r="H111" s="192">
        <f t="shared" ref="H111:Q111" si="18">IFERROR(IF($B$7=1,H62/$B$23,H62/H24),"")</f>
        <v>0</v>
      </c>
      <c r="I111" s="192">
        <f t="shared" si="18"/>
        <v>0</v>
      </c>
      <c r="J111" s="192">
        <f t="shared" si="18"/>
        <v>0</v>
      </c>
      <c r="K111" s="192">
        <f t="shared" si="18"/>
        <v>0</v>
      </c>
      <c r="L111" s="192">
        <f t="shared" si="18"/>
        <v>0</v>
      </c>
      <c r="M111" s="192">
        <f t="shared" si="18"/>
        <v>0</v>
      </c>
      <c r="N111" s="192">
        <f t="shared" si="18"/>
        <v>0</v>
      </c>
      <c r="O111" s="192">
        <f t="shared" si="18"/>
        <v>0</v>
      </c>
      <c r="P111" s="192">
        <f t="shared" si="18"/>
        <v>0</v>
      </c>
      <c r="Q111" s="192">
        <f t="shared" si="18"/>
        <v>0</v>
      </c>
    </row>
    <row r="112" spans="1:17" s="183" customFormat="1" ht="14.25" customHeight="1" x14ac:dyDescent="0.25">
      <c r="A112" s="187" t="s">
        <v>186</v>
      </c>
      <c r="B112" s="187"/>
      <c r="C112" s="187"/>
      <c r="D112" s="187"/>
      <c r="E112" s="187"/>
      <c r="F112" s="187"/>
      <c r="G112" s="187"/>
      <c r="H112" s="190"/>
      <c r="I112" s="190"/>
      <c r="J112" s="190"/>
      <c r="K112" s="190"/>
      <c r="L112" s="190"/>
      <c r="M112" s="190"/>
      <c r="N112" s="190"/>
      <c r="O112" s="190"/>
      <c r="P112" s="190"/>
      <c r="Q112" s="190"/>
    </row>
    <row r="113" spans="1:20" s="183" customFormat="1" ht="14.25" customHeight="1" x14ac:dyDescent="0.35">
      <c r="A113" s="183" t="s">
        <v>187</v>
      </c>
      <c r="B113" s="189"/>
      <c r="C113" s="183" t="s">
        <v>175</v>
      </c>
      <c r="H113" s="192">
        <f t="shared" ref="H113:Q113" ca="1" si="19">IFERROR(H101+H104+H109+H111,"")</f>
        <v>6.1946213804439647E-2</v>
      </c>
      <c r="I113" s="192">
        <f t="shared" ca="1" si="19"/>
        <v>6.3219395906308512E-2</v>
      </c>
      <c r="J113" s="192">
        <f t="shared" ca="1" si="19"/>
        <v>6.4491056050214782E-2</v>
      </c>
      <c r="K113" s="192">
        <f t="shared" ca="1" si="19"/>
        <v>6.5761163796999145E-2</v>
      </c>
      <c r="L113" s="192">
        <f t="shared" ca="1" si="19"/>
        <v>6.3683861675512557E-2</v>
      </c>
      <c r="M113" s="192">
        <f t="shared" ca="1" si="19"/>
        <v>6.5411669347028786E-2</v>
      </c>
      <c r="N113" s="192">
        <f t="shared" ca="1" si="19"/>
        <v>6.7307420214611988E-2</v>
      </c>
      <c r="O113" s="192">
        <f t="shared" ca="1" si="19"/>
        <v>6.9059710830124812E-2</v>
      </c>
      <c r="P113" s="192">
        <f t="shared" ca="1" si="19"/>
        <v>7.12020136953605E-2</v>
      </c>
      <c r="Q113" s="192">
        <f t="shared" ca="1" si="19"/>
        <v>7.1477117410873814E-2</v>
      </c>
    </row>
    <row r="114" spans="1:20" s="183" customFormat="1" ht="14.25" customHeight="1" x14ac:dyDescent="0.35">
      <c r="A114" s="183" t="s">
        <v>188</v>
      </c>
      <c r="B114" s="189"/>
      <c r="C114" s="183" t="s">
        <v>189</v>
      </c>
      <c r="H114" s="194">
        <f t="shared" ref="H114:Q114" ca="1" si="20">IFERROR(H113/H71*1000,"")</f>
        <v>323.40011383356352</v>
      </c>
      <c r="I114" s="194">
        <f t="shared" ca="1" si="20"/>
        <v>330.04696456725179</v>
      </c>
      <c r="J114" s="194">
        <f t="shared" ca="1" si="20"/>
        <v>336.68586967604824</v>
      </c>
      <c r="K114" s="194">
        <f t="shared" ca="1" si="20"/>
        <v>343.31667024745491</v>
      </c>
      <c r="L114" s="194">
        <f t="shared" ca="1" si="20"/>
        <v>332.47178237946832</v>
      </c>
      <c r="M114" s="194">
        <f t="shared" ca="1" si="20"/>
        <v>341.49207859022414</v>
      </c>
      <c r="N114" s="194">
        <f t="shared" ca="1" si="20"/>
        <v>351.38914910872199</v>
      </c>
      <c r="O114" s="194">
        <f t="shared" ca="1" si="20"/>
        <v>360.53726244322439</v>
      </c>
      <c r="P114" s="194">
        <f t="shared" ca="1" si="20"/>
        <v>371.72149708701363</v>
      </c>
      <c r="Q114" s="194">
        <f t="shared" ca="1" si="20"/>
        <v>373.15772002057196</v>
      </c>
    </row>
    <row r="115" spans="1:20" s="183" customFormat="1" ht="14.25" customHeight="1" x14ac:dyDescent="0.25">
      <c r="A115" s="187" t="s">
        <v>190</v>
      </c>
      <c r="B115" s="187"/>
      <c r="C115" s="187"/>
      <c r="D115" s="187"/>
      <c r="E115" s="187"/>
      <c r="F115" s="187"/>
      <c r="G115" s="187"/>
      <c r="H115" s="190"/>
      <c r="I115" s="190"/>
      <c r="J115" s="190"/>
      <c r="K115" s="190"/>
      <c r="L115" s="190"/>
      <c r="M115" s="190"/>
      <c r="N115" s="190"/>
      <c r="O115" s="190"/>
      <c r="P115" s="190"/>
      <c r="Q115" s="190"/>
    </row>
    <row r="116" spans="1:20" s="183" customFormat="1" ht="14.25" customHeight="1" x14ac:dyDescent="0.35">
      <c r="A116" s="193" t="s">
        <v>191</v>
      </c>
      <c r="C116" s="183" t="s">
        <v>189</v>
      </c>
      <c r="H116" s="195">
        <v>0</v>
      </c>
      <c r="I116" s="195">
        <f t="shared" ref="I116:Q116" ca="1" si="21">IFERROR(IF(H117&lt;H$66,-(H66-H117)*H31/I31,0),"")</f>
        <v>0</v>
      </c>
      <c r="J116" s="195">
        <f t="shared" ca="1" si="21"/>
        <v>0</v>
      </c>
      <c r="K116" s="195">
        <f t="shared" ca="1" si="21"/>
        <v>0</v>
      </c>
      <c r="L116" s="195">
        <f t="shared" ca="1" si="21"/>
        <v>0</v>
      </c>
      <c r="M116" s="195">
        <f t="shared" ca="1" si="21"/>
        <v>0</v>
      </c>
      <c r="N116" s="195">
        <f t="shared" ca="1" si="21"/>
        <v>0</v>
      </c>
      <c r="O116" s="195">
        <f t="shared" ca="1" si="21"/>
        <v>0</v>
      </c>
      <c r="P116" s="195">
        <f t="shared" ca="1" si="21"/>
        <v>0</v>
      </c>
      <c r="Q116" s="195">
        <f t="shared" ca="1" si="21"/>
        <v>0</v>
      </c>
    </row>
    <row r="117" spans="1:20" s="12" customFormat="1" ht="14.25" customHeight="1" x14ac:dyDescent="0.25">
      <c r="A117" s="179" t="s">
        <v>192</v>
      </c>
      <c r="B117" s="179"/>
      <c r="C117" s="179" t="s">
        <v>193</v>
      </c>
      <c r="D117" s="179"/>
      <c r="E117" s="179"/>
      <c r="F117" s="179"/>
      <c r="G117" s="179"/>
      <c r="H117" s="196">
        <f t="shared" ref="H117:Q117" ca="1" si="22">IFERROR(H114+H116,"")</f>
        <v>323.40011383356352</v>
      </c>
      <c r="I117" s="196">
        <f t="shared" ca="1" si="22"/>
        <v>330.04696456725179</v>
      </c>
      <c r="J117" s="196">
        <f t="shared" ca="1" si="22"/>
        <v>336.68586967604824</v>
      </c>
      <c r="K117" s="196">
        <f t="shared" ca="1" si="22"/>
        <v>343.31667024745491</v>
      </c>
      <c r="L117" s="196">
        <f t="shared" ca="1" si="22"/>
        <v>332.47178237946832</v>
      </c>
      <c r="M117" s="196">
        <f t="shared" ca="1" si="22"/>
        <v>341.49207859022414</v>
      </c>
      <c r="N117" s="196">
        <f t="shared" ca="1" si="22"/>
        <v>351.38914910872199</v>
      </c>
      <c r="O117" s="196">
        <f t="shared" ca="1" si="22"/>
        <v>360.53726244322439</v>
      </c>
      <c r="P117" s="196">
        <f t="shared" ca="1" si="22"/>
        <v>371.72149708701363</v>
      </c>
      <c r="Q117" s="196">
        <f t="shared" ca="1" si="22"/>
        <v>373.15772002057196</v>
      </c>
    </row>
    <row r="118" spans="1:20" s="12" customFormat="1" ht="14.25" customHeight="1" x14ac:dyDescent="0.25">
      <c r="B118" s="197"/>
      <c r="C118" s="198"/>
      <c r="D118" s="198"/>
      <c r="E118" s="198"/>
      <c r="F118" s="198"/>
      <c r="G118" s="197"/>
      <c r="H118" s="197"/>
      <c r="I118" s="197"/>
      <c r="J118" s="197"/>
      <c r="K118" s="197"/>
      <c r="L118" s="197"/>
      <c r="M118" s="197"/>
      <c r="N118" s="197"/>
      <c r="O118" s="197"/>
      <c r="P118" s="197"/>
      <c r="Q118" s="197"/>
    </row>
    <row r="119" spans="1:20" s="12" customFormat="1" ht="14.25" customHeight="1" x14ac:dyDescent="0.25">
      <c r="B119" s="197"/>
      <c r="C119" s="198"/>
      <c r="D119" s="198"/>
      <c r="E119" s="198"/>
      <c r="F119" s="198"/>
      <c r="G119" s="197"/>
      <c r="H119" s="197"/>
      <c r="I119" s="197"/>
      <c r="J119" s="197"/>
      <c r="K119" s="197"/>
      <c r="L119" s="197"/>
      <c r="M119" s="197"/>
      <c r="N119" s="197"/>
      <c r="O119" s="197"/>
      <c r="P119" s="197"/>
      <c r="Q119" s="197"/>
    </row>
    <row r="120" spans="1:20" s="21" customFormat="1" ht="14.25" customHeight="1" x14ac:dyDescent="0.25">
      <c r="A120" s="181" t="s">
        <v>194</v>
      </c>
      <c r="B120" s="155"/>
      <c r="C120" s="132" t="s">
        <v>159</v>
      </c>
      <c r="D120" s="155"/>
      <c r="E120" s="155"/>
      <c r="F120" s="155"/>
      <c r="G120" s="155"/>
      <c r="H120" s="155"/>
      <c r="I120" s="155"/>
      <c r="J120" s="155"/>
      <c r="K120" s="155"/>
      <c r="L120" s="155"/>
      <c r="M120" s="155"/>
      <c r="N120" s="155"/>
      <c r="O120" s="155"/>
      <c r="P120" s="155"/>
      <c r="Q120" s="155"/>
    </row>
    <row r="121" spans="1:20" s="183" customFormat="1" ht="14.25" customHeight="1" x14ac:dyDescent="0.25">
      <c r="A121" s="187" t="s">
        <v>195</v>
      </c>
      <c r="B121" s="199"/>
      <c r="C121" s="199" t="s">
        <v>138</v>
      </c>
      <c r="D121" s="199"/>
      <c r="E121" s="199"/>
      <c r="F121" s="199"/>
      <c r="G121" s="200"/>
      <c r="H121" s="200">
        <f t="shared" ref="H121:Q121" ca="1" si="23">IFERROR(IF(H117&lt;H$66,IF($B$7=1,H$66/1000*($B$22*$B$23*H31*H71),H$66/1000*($B$22*H24*H31*H71)),IF($B$7=1,H117/1000*($B$22*$B$23*H31*H71),H117/1000*($B$22*H24*H31*H71))),"")</f>
        <v>836273.88635993516</v>
      </c>
      <c r="I121" s="200">
        <f t="shared" ca="1" si="23"/>
        <v>853461.84473516489</v>
      </c>
      <c r="J121" s="200">
        <f t="shared" ca="1" si="23"/>
        <v>870629.25667789951</v>
      </c>
      <c r="K121" s="200">
        <f t="shared" ca="1" si="23"/>
        <v>887775.7112594886</v>
      </c>
      <c r="L121" s="200">
        <f t="shared" ca="1" si="23"/>
        <v>859732.13261941948</v>
      </c>
      <c r="M121" s="200">
        <f t="shared" ca="1" si="23"/>
        <v>883057.53618488857</v>
      </c>
      <c r="N121" s="200">
        <f t="shared" ca="1" si="23"/>
        <v>908650.1728972618</v>
      </c>
      <c r="O121" s="200">
        <f t="shared" ca="1" si="23"/>
        <v>932306.09620668483</v>
      </c>
      <c r="P121" s="200">
        <f t="shared" ca="1" si="23"/>
        <v>961227.1848873666</v>
      </c>
      <c r="Q121" s="200">
        <f t="shared" ca="1" si="23"/>
        <v>964941.08504679648</v>
      </c>
      <c r="S121" s="201"/>
      <c r="T121" s="201"/>
    </row>
    <row r="122" spans="1:20" s="183" customFormat="1" ht="14.25" customHeight="1" x14ac:dyDescent="0.25">
      <c r="B122" s="201"/>
      <c r="H122" s="201"/>
      <c r="I122" s="201"/>
      <c r="J122" s="201"/>
      <c r="K122" s="201"/>
      <c r="L122" s="201"/>
      <c r="M122" s="201"/>
      <c r="N122" s="201"/>
      <c r="O122" s="201"/>
      <c r="P122" s="201"/>
      <c r="Q122" s="201"/>
    </row>
    <row r="123" spans="1:20" s="183" customFormat="1" ht="14.25" customHeight="1" x14ac:dyDescent="0.25">
      <c r="A123" s="202" t="s">
        <v>196</v>
      </c>
      <c r="B123" s="203"/>
      <c r="R123" s="204"/>
    </row>
    <row r="124" spans="1:20" s="183" customFormat="1" ht="14.25" customHeight="1" x14ac:dyDescent="0.25">
      <c r="A124" s="187" t="s">
        <v>197</v>
      </c>
      <c r="B124" s="187"/>
      <c r="C124" s="187"/>
      <c r="D124" s="187"/>
      <c r="E124" s="187"/>
      <c r="F124" s="187"/>
      <c r="G124" s="187"/>
      <c r="H124" s="205"/>
      <c r="I124" s="205"/>
      <c r="J124" s="205"/>
      <c r="K124" s="205"/>
      <c r="L124" s="205"/>
      <c r="M124" s="205"/>
      <c r="N124" s="205"/>
      <c r="O124" s="205"/>
      <c r="P124" s="205"/>
      <c r="Q124" s="205"/>
      <c r="R124" s="186"/>
    </row>
    <row r="125" spans="1:20" s="183" customFormat="1" ht="14.25" customHeight="1" x14ac:dyDescent="0.25">
      <c r="A125" s="183" t="s">
        <v>198</v>
      </c>
      <c r="B125" s="201"/>
      <c r="C125" s="183" t="s">
        <v>138</v>
      </c>
      <c r="H125" s="201">
        <f t="shared" ref="H125:Q125" ca="1" si="24">IFERROR(IF($B$7=1,($B$12/1000*H71*$B$22*$B$23*H31)-H121,($B$12/1000*H71*$B$22*H24*H31)-H121),0)</f>
        <v>198078.11364006484</v>
      </c>
      <c r="I125" s="201">
        <f t="shared" ca="1" si="24"/>
        <v>180890.15526483511</v>
      </c>
      <c r="J125" s="201">
        <f t="shared" ca="1" si="24"/>
        <v>163722.74332210049</v>
      </c>
      <c r="K125" s="201">
        <f t="shared" ca="1" si="24"/>
        <v>146576.2887405114</v>
      </c>
      <c r="L125" s="201">
        <f t="shared" ca="1" si="24"/>
        <v>174619.86738058052</v>
      </c>
      <c r="M125" s="201">
        <f t="shared" ca="1" si="24"/>
        <v>151294.46381511143</v>
      </c>
      <c r="N125" s="201">
        <f t="shared" ca="1" si="24"/>
        <v>125701.8271027382</v>
      </c>
      <c r="O125" s="201">
        <f t="shared" ca="1" si="24"/>
        <v>102045.90379331517</v>
      </c>
      <c r="P125" s="201">
        <f t="shared" ca="1" si="24"/>
        <v>73124.815112633398</v>
      </c>
      <c r="Q125" s="201">
        <f t="shared" ca="1" si="24"/>
        <v>69410.914953203523</v>
      </c>
      <c r="R125" s="186"/>
    </row>
    <row r="126" spans="1:20" s="12" customFormat="1" ht="14.25" customHeight="1" x14ac:dyDescent="0.25">
      <c r="A126" s="179" t="s">
        <v>199</v>
      </c>
      <c r="B126" s="179"/>
      <c r="C126" s="179" t="s">
        <v>138</v>
      </c>
      <c r="D126" s="179"/>
      <c r="E126" s="179"/>
      <c r="F126" s="179"/>
      <c r="G126" s="179"/>
      <c r="H126" s="206">
        <f t="shared" ref="H126:Q126" ca="1" si="25">IF(H125&gt;2000000,2000000,H125)</f>
        <v>198078.11364006484</v>
      </c>
      <c r="I126" s="206">
        <f t="shared" ca="1" si="25"/>
        <v>180890.15526483511</v>
      </c>
      <c r="J126" s="206">
        <f t="shared" ca="1" si="25"/>
        <v>163722.74332210049</v>
      </c>
      <c r="K126" s="206">
        <f t="shared" ca="1" si="25"/>
        <v>146576.2887405114</v>
      </c>
      <c r="L126" s="206">
        <f t="shared" ca="1" si="25"/>
        <v>174619.86738058052</v>
      </c>
      <c r="M126" s="206">
        <f t="shared" ca="1" si="25"/>
        <v>151294.46381511143</v>
      </c>
      <c r="N126" s="206">
        <f t="shared" ca="1" si="25"/>
        <v>125701.8271027382</v>
      </c>
      <c r="O126" s="206">
        <f t="shared" ca="1" si="25"/>
        <v>102045.90379331517</v>
      </c>
      <c r="P126" s="206">
        <f t="shared" ca="1" si="25"/>
        <v>73124.815112633398</v>
      </c>
      <c r="Q126" s="206">
        <f t="shared" ca="1" si="25"/>
        <v>69410.914953203523</v>
      </c>
      <c r="R126" s="176"/>
    </row>
    <row r="127" spans="1:20" s="12" customFormat="1" ht="14.25" customHeight="1" x14ac:dyDescent="0.25">
      <c r="B127" s="183"/>
      <c r="C127" s="175"/>
      <c r="D127" s="175"/>
      <c r="E127" s="175"/>
      <c r="F127" s="175"/>
      <c r="G127" s="176"/>
      <c r="H127" s="176"/>
      <c r="I127" s="176"/>
      <c r="J127" s="176"/>
      <c r="K127" s="176"/>
      <c r="L127" s="176"/>
      <c r="M127" s="176"/>
      <c r="N127" s="176"/>
      <c r="O127" s="176"/>
      <c r="P127" s="176"/>
      <c r="Q127" s="176"/>
      <c r="R127" s="207"/>
      <c r="S127" s="277"/>
    </row>
    <row r="128" spans="1:20" s="12" customFormat="1" ht="14.25" customHeight="1" x14ac:dyDescent="0.25">
      <c r="B128" s="183"/>
      <c r="C128" s="175"/>
      <c r="D128" s="175"/>
      <c r="E128" s="175"/>
      <c r="F128" s="175"/>
      <c r="G128" s="176"/>
      <c r="H128" s="176"/>
      <c r="I128" s="176"/>
      <c r="J128" s="176"/>
      <c r="K128" s="176"/>
      <c r="L128" s="176"/>
      <c r="M128" s="176"/>
      <c r="N128" s="176"/>
      <c r="O128" s="176"/>
      <c r="P128" s="176"/>
      <c r="Q128" s="176"/>
      <c r="R128" s="207"/>
      <c r="S128" s="277"/>
    </row>
    <row r="129" spans="1:21" s="214" customFormat="1" ht="21" x14ac:dyDescent="0.35">
      <c r="A129" s="209" t="s">
        <v>200</v>
      </c>
      <c r="B129" s="210">
        <f ca="1">SUM(H126:Q126)</f>
        <v>1385465.0931250942</v>
      </c>
      <c r="C129" s="211"/>
      <c r="D129" s="211"/>
      <c r="E129" s="211"/>
      <c r="F129" s="211"/>
      <c r="G129" s="278"/>
      <c r="H129" s="213"/>
      <c r="I129" s="213"/>
      <c r="J129" s="213"/>
      <c r="K129" s="213"/>
      <c r="L129" s="213"/>
      <c r="M129" s="213"/>
      <c r="N129" s="213"/>
      <c r="O129" s="213"/>
      <c r="P129" s="213"/>
      <c r="Q129" s="213"/>
      <c r="R129" s="209"/>
    </row>
    <row r="130" spans="1:21" s="12" customFormat="1" ht="5.0999999999999996" customHeight="1" x14ac:dyDescent="0.25">
      <c r="A130" s="215"/>
      <c r="B130" s="215"/>
      <c r="C130" s="49"/>
      <c r="D130" s="49"/>
      <c r="E130" s="49"/>
      <c r="F130" s="49"/>
      <c r="G130" s="49"/>
      <c r="H130" s="49"/>
      <c r="I130" s="49"/>
      <c r="J130" s="49"/>
      <c r="K130" s="49"/>
      <c r="L130" s="49"/>
      <c r="M130" s="49"/>
      <c r="N130" s="49"/>
    </row>
    <row r="131" spans="1:21" s="12" customFormat="1" ht="14.25" customHeight="1" x14ac:dyDescent="0.25">
      <c r="B131" s="216"/>
      <c r="H131" s="197"/>
      <c r="I131" s="197"/>
      <c r="J131" s="197"/>
      <c r="K131" s="197"/>
      <c r="L131" s="197"/>
      <c r="M131" s="197"/>
      <c r="N131" s="197"/>
      <c r="O131" s="197"/>
      <c r="P131" s="197"/>
      <c r="Q131" s="197"/>
    </row>
    <row r="132" spans="1:21" s="12" customFormat="1" ht="14.25" customHeight="1" x14ac:dyDescent="0.25">
      <c r="B132" s="216"/>
      <c r="H132" s="197"/>
      <c r="I132" s="197"/>
      <c r="J132" s="197"/>
      <c r="K132" s="197"/>
      <c r="L132" s="197"/>
      <c r="M132" s="197"/>
      <c r="N132" s="197"/>
      <c r="O132" s="197"/>
      <c r="P132" s="197"/>
      <c r="Q132" s="197"/>
    </row>
    <row r="133" spans="1:21" s="12" customFormat="1" ht="14.25" customHeight="1" x14ac:dyDescent="0.25">
      <c r="B133" s="216"/>
      <c r="H133" s="197"/>
      <c r="I133" s="197"/>
      <c r="J133" s="197"/>
      <c r="K133" s="197"/>
      <c r="L133" s="197"/>
      <c r="M133" s="197"/>
      <c r="N133" s="197"/>
      <c r="O133" s="197"/>
      <c r="P133" s="197"/>
      <c r="Q133" s="197"/>
    </row>
    <row r="134" spans="1:21" s="12" customFormat="1" ht="14.25" customHeight="1" x14ac:dyDescent="0.25">
      <c r="B134" s="216"/>
      <c r="H134" s="197"/>
      <c r="I134" s="197"/>
      <c r="J134" s="197"/>
      <c r="K134" s="197"/>
      <c r="L134" s="197"/>
      <c r="M134" s="197"/>
      <c r="N134" s="197"/>
      <c r="O134" s="197"/>
      <c r="P134" s="197"/>
      <c r="Q134" s="197"/>
    </row>
    <row r="135" spans="1:21" s="12" customFormat="1" ht="14.25" customHeight="1" x14ac:dyDescent="0.25">
      <c r="B135" s="217"/>
      <c r="C135" s="218"/>
      <c r="D135" s="218"/>
      <c r="E135" s="218"/>
      <c r="F135" s="218"/>
      <c r="G135" s="218"/>
      <c r="H135" s="218"/>
      <c r="I135" s="218"/>
      <c r="J135" s="218"/>
      <c r="K135" s="218"/>
      <c r="L135" s="218"/>
      <c r="M135" s="218"/>
      <c r="N135" s="218"/>
      <c r="R135" s="219"/>
    </row>
    <row r="136" spans="1:21" s="15" customFormat="1" ht="14.25" customHeight="1" x14ac:dyDescent="0.25">
      <c r="A136" s="13" t="s">
        <v>201</v>
      </c>
      <c r="B136" s="13"/>
      <c r="C136" s="13"/>
      <c r="D136" s="13"/>
      <c r="E136" s="13"/>
      <c r="F136" s="13"/>
      <c r="G136" s="13"/>
      <c r="H136" s="13"/>
      <c r="I136" s="13"/>
      <c r="J136" s="13"/>
    </row>
    <row r="137" spans="1:21" s="22" customFormat="1" ht="14.25" customHeight="1" x14ac:dyDescent="0.25">
      <c r="A137" s="290" t="s">
        <v>117</v>
      </c>
      <c r="B137" s="291"/>
      <c r="C137" s="291"/>
      <c r="D137" s="291"/>
      <c r="E137" s="291"/>
      <c r="F137" s="291"/>
      <c r="G137" s="291"/>
      <c r="H137" s="291"/>
      <c r="I137" s="291"/>
      <c r="J137" s="291"/>
      <c r="K137" s="291"/>
      <c r="L137" s="291"/>
      <c r="M137" s="291"/>
      <c r="N137" s="294"/>
      <c r="O137" s="294"/>
      <c r="P137" s="294"/>
      <c r="Q137" s="294"/>
    </row>
    <row r="138" spans="1:21" s="12" customFormat="1" ht="14.25" customHeight="1" x14ac:dyDescent="0.25">
      <c r="B138" s="217"/>
      <c r="R138" s="219"/>
    </row>
    <row r="139" spans="1:21" s="257" customFormat="1" ht="14.25" customHeight="1" x14ac:dyDescent="0.25">
      <c r="A139" s="279" t="s">
        <v>170</v>
      </c>
      <c r="B139" s="279"/>
      <c r="C139" s="280"/>
      <c r="D139" s="180">
        <v>-4</v>
      </c>
      <c r="E139" s="180">
        <v>-3</v>
      </c>
      <c r="F139" s="180">
        <v>-2</v>
      </c>
      <c r="G139" s="180">
        <v>-1</v>
      </c>
      <c r="H139" s="180">
        <v>1</v>
      </c>
      <c r="I139" s="180">
        <v>2</v>
      </c>
      <c r="J139" s="180">
        <v>3</v>
      </c>
      <c r="K139" s="180">
        <v>4</v>
      </c>
      <c r="L139" s="180">
        <v>5</v>
      </c>
      <c r="M139" s="180">
        <v>6</v>
      </c>
      <c r="N139" s="180">
        <v>7</v>
      </c>
      <c r="O139" s="180">
        <v>8</v>
      </c>
      <c r="P139" s="180">
        <v>9</v>
      </c>
      <c r="Q139" s="180">
        <v>10</v>
      </c>
    </row>
    <row r="140" spans="1:21" s="258" customFormat="1" ht="14.25" customHeight="1" x14ac:dyDescent="0.25">
      <c r="A140" s="281" t="s">
        <v>171</v>
      </c>
      <c r="B140" s="282"/>
      <c r="C140" s="283"/>
      <c r="D140" s="283"/>
      <c r="E140" s="283"/>
      <c r="F140" s="283"/>
      <c r="G140" s="283"/>
      <c r="H140" s="283">
        <f t="shared" ref="H140:Q140" si="26">POWER(1+$B$77,H139-$H$96)</f>
        <v>1</v>
      </c>
      <c r="I140" s="283">
        <f t="shared" si="26"/>
        <v>1.02</v>
      </c>
      <c r="J140" s="283">
        <f t="shared" si="26"/>
        <v>1.0404</v>
      </c>
      <c r="K140" s="283">
        <f t="shared" si="26"/>
        <v>1.0612079999999999</v>
      </c>
      <c r="L140" s="283">
        <f t="shared" si="26"/>
        <v>1.08243216</v>
      </c>
      <c r="M140" s="283">
        <f t="shared" si="26"/>
        <v>1.1040808032</v>
      </c>
      <c r="N140" s="283">
        <f t="shared" si="26"/>
        <v>1.1261624192640001</v>
      </c>
      <c r="O140" s="283">
        <f t="shared" si="26"/>
        <v>1.1486856676492798</v>
      </c>
      <c r="P140" s="283">
        <f t="shared" si="26"/>
        <v>1.1716593810022655</v>
      </c>
      <c r="Q140" s="283">
        <f t="shared" si="26"/>
        <v>1.1950925686223108</v>
      </c>
    </row>
    <row r="141" spans="1:21" s="12" customFormat="1" ht="14.25" customHeight="1" x14ac:dyDescent="0.25">
      <c r="A141" s="227"/>
      <c r="B141" s="228"/>
      <c r="C141" s="228"/>
      <c r="D141" s="228"/>
      <c r="E141" s="228"/>
      <c r="F141" s="228"/>
      <c r="G141" s="228"/>
      <c r="H141" s="228"/>
      <c r="I141" s="228"/>
      <c r="J141" s="228"/>
      <c r="K141" s="228"/>
      <c r="L141" s="228"/>
      <c r="M141" s="228"/>
      <c r="N141" s="228"/>
      <c r="O141" s="228"/>
      <c r="P141" s="228"/>
      <c r="Q141" s="228"/>
      <c r="R141" s="219"/>
    </row>
    <row r="142" spans="1:21" s="12" customFormat="1" ht="14.25" customHeight="1" x14ac:dyDescent="0.25">
      <c r="A142" s="229" t="s">
        <v>202</v>
      </c>
      <c r="B142" s="229"/>
      <c r="C142" s="229"/>
      <c r="D142" s="229"/>
      <c r="E142" s="229"/>
      <c r="F142" s="229"/>
      <c r="G142" s="229"/>
      <c r="H142" s="230"/>
      <c r="I142" s="230"/>
      <c r="J142" s="230"/>
      <c r="K142" s="230"/>
      <c r="L142" s="230"/>
      <c r="M142" s="230"/>
      <c r="N142" s="230"/>
      <c r="O142" s="230"/>
      <c r="P142" s="230"/>
      <c r="Q142" s="230"/>
      <c r="R142" s="183"/>
      <c r="S142" s="183"/>
      <c r="T142" s="183"/>
      <c r="U142" s="183"/>
    </row>
    <row r="143" spans="1:21" s="12" customFormat="1" ht="14.25" customHeight="1" x14ac:dyDescent="0.35">
      <c r="A143" s="183" t="s">
        <v>203</v>
      </c>
      <c r="B143" s="184"/>
      <c r="C143" s="231" t="s">
        <v>204</v>
      </c>
      <c r="D143" s="231"/>
      <c r="E143" s="231"/>
      <c r="F143" s="231"/>
      <c r="G143" s="183"/>
      <c r="H143" s="252" cm="1">
        <f t="array" ref="H143">_xlfn.IFS(H56="ETS1",(H57/1000*'Algemene parameters'!$B$12*0.0036/'Algemene parameters'!$B$14),H56="ETS2",(H58/1000*'Algemene parameters'!$B$12*0.0036/'Algemene parameters'!$B$14),TRUE,0)</f>
        <v>1.9677E-2</v>
      </c>
      <c r="I143" s="252" cm="1">
        <f t="array" ref="I143">_xlfn.IFS(I56="ETS1",(I57/1000*'Algemene parameters'!$B$12*0.0036/'Algemene parameters'!$B$14),I56="ETS2",(I58/1000*'Algemene parameters'!$B$12*0.0036/'Algemene parameters'!$B$14),TRUE,0)</f>
        <v>2.1026279999999998E-2</v>
      </c>
      <c r="J143" s="252" cm="1">
        <f t="array" ref="J143">_xlfn.IFS(J56="ETS1",(J57/1000*'Algemene parameters'!$B$12*0.0036/'Algemene parameters'!$B$14),J56="ETS2",(J58/1000*'Algemene parameters'!$B$12*0.0036/'Algemene parameters'!$B$14),TRUE,0)</f>
        <v>2.2375559999999999E-2</v>
      </c>
      <c r="K143" s="252" cm="1">
        <f t="array" ref="K143">_xlfn.IFS(K56="ETS1",(K57/1000*'Algemene parameters'!$B$12*0.0036/'Algemene parameters'!$B$14),K56="ETS2",(K58/1000*'Algemene parameters'!$B$12*0.0036/'Algemene parameters'!$B$14),TRUE,0)</f>
        <v>2.3724839999999997E-2</v>
      </c>
      <c r="L143" s="252" cm="1">
        <f t="array" ref="L143">_xlfn.IFS(L56="ETS1",(L57/1000*'Algemene parameters'!$B$12*0.0036/'Algemene parameters'!$B$14),L56="ETS2",(L58/1000*'Algemene parameters'!$B$12*0.0036/'Algemene parameters'!$B$14),TRUE,0)</f>
        <v>2.5074120000000002E-2</v>
      </c>
      <c r="M143" s="252" cm="1">
        <f t="array" ref="M143">_xlfn.IFS(M56="ETS1",(M57/1000*'Algemene parameters'!$B$12*0.0036/'Algemene parameters'!$B$14),M56="ETS2",(M58/1000*'Algemene parameters'!$B$12*0.0036/'Algemene parameters'!$B$14),TRUE,0)</f>
        <v>2.6423399999999996E-2</v>
      </c>
      <c r="N143" s="252" cm="1">
        <f t="array" ref="N143">_xlfn.IFS(N56="ETS1",(N57/1000*'Algemene parameters'!$B$12*0.0036/'Algemene parameters'!$B$14),N56="ETS2",(N58/1000*'Algemene parameters'!$B$12*0.0036/'Algemene parameters'!$B$14),TRUE,0)</f>
        <v>2.7772679999999998E-2</v>
      </c>
      <c r="O143" s="252" cm="1">
        <f t="array" ref="O143">_xlfn.IFS(O56="ETS1",(O57/1000*'Algemene parameters'!$B$12*0.0036/'Algemene parameters'!$B$14),O56="ETS2",(O58/1000*'Algemene parameters'!$B$12*0.0036/'Algemene parameters'!$B$14),TRUE,0)</f>
        <v>2.9121959999999999E-2</v>
      </c>
      <c r="P143" s="252" cm="1">
        <f t="array" ref="P143">_xlfn.IFS(P56="ETS1",(P57/1000*'Algemene parameters'!$B$12*0.0036/'Algemene parameters'!$B$14),P56="ETS2",(P58/1000*'Algemene parameters'!$B$12*0.0036/'Algemene parameters'!$B$14),TRUE,0)</f>
        <v>3.047124E-2</v>
      </c>
      <c r="Q143" s="252" cm="1">
        <f t="array" ref="Q143">_xlfn.IFS(Q56="ETS1",(Q57/1000*'Algemene parameters'!$B$12*0.0036/'Algemene parameters'!$B$14),Q56="ETS2",(Q58/1000*'Algemene parameters'!$B$12*0.0036/'Algemene parameters'!$B$14),TRUE,0)</f>
        <v>3.1820519999999991E-2</v>
      </c>
      <c r="R143" s="183"/>
      <c r="S143" s="183"/>
      <c r="T143" s="183"/>
      <c r="U143" s="183"/>
    </row>
    <row r="144" spans="1:21" s="12" customFormat="1" ht="14.25" customHeight="1" x14ac:dyDescent="0.35">
      <c r="A144" s="183" t="s">
        <v>205</v>
      </c>
      <c r="B144" s="184"/>
      <c r="C144" s="231" t="s">
        <v>204</v>
      </c>
      <c r="D144" s="231"/>
      <c r="E144" s="231"/>
      <c r="F144" s="231"/>
      <c r="G144" s="183"/>
      <c r="H144" s="252">
        <f t="shared" ref="H144:Q144" si="27">H143*(1-H59)</f>
        <v>1.9677E-2</v>
      </c>
      <c r="I144" s="252">
        <f t="shared" si="27"/>
        <v>2.1026279999999998E-2</v>
      </c>
      <c r="J144" s="252">
        <f t="shared" si="27"/>
        <v>2.2375559999999999E-2</v>
      </c>
      <c r="K144" s="252">
        <f t="shared" si="27"/>
        <v>2.3724839999999997E-2</v>
      </c>
      <c r="L144" s="252">
        <f t="shared" si="27"/>
        <v>2.5074120000000002E-2</v>
      </c>
      <c r="M144" s="252">
        <f t="shared" si="27"/>
        <v>2.6423399999999996E-2</v>
      </c>
      <c r="N144" s="252">
        <f t="shared" si="27"/>
        <v>2.7772679999999998E-2</v>
      </c>
      <c r="O144" s="252">
        <f t="shared" si="27"/>
        <v>2.9121959999999999E-2</v>
      </c>
      <c r="P144" s="252">
        <f t="shared" si="27"/>
        <v>3.047124E-2</v>
      </c>
      <c r="Q144" s="252">
        <f t="shared" si="27"/>
        <v>3.1820519999999991E-2</v>
      </c>
    </row>
    <row r="145" spans="1:18" s="12" customFormat="1" ht="14.25" customHeight="1" x14ac:dyDescent="0.25">
      <c r="A145" s="183"/>
      <c r="B145" s="184"/>
      <c r="C145" s="231"/>
      <c r="D145" s="231"/>
      <c r="E145" s="231"/>
      <c r="F145" s="231"/>
      <c r="G145" s="183"/>
      <c r="H145" s="232"/>
      <c r="I145" s="232"/>
      <c r="J145" s="232"/>
      <c r="K145" s="232"/>
      <c r="L145" s="232"/>
      <c r="M145" s="232"/>
      <c r="N145" s="232"/>
      <c r="O145" s="232"/>
      <c r="P145" s="232"/>
      <c r="Q145" s="232"/>
    </row>
    <row r="146" spans="1:18" s="12" customFormat="1" ht="14.25" customHeight="1" x14ac:dyDescent="0.25">
      <c r="A146" s="90" t="s">
        <v>206</v>
      </c>
      <c r="B146" s="228"/>
      <c r="C146" s="132" t="s">
        <v>159</v>
      </c>
      <c r="D146" s="228"/>
      <c r="E146" s="228"/>
      <c r="F146" s="228"/>
      <c r="G146" s="228"/>
      <c r="H146" s="228"/>
      <c r="I146" s="228"/>
      <c r="J146" s="228"/>
      <c r="K146" s="228"/>
      <c r="L146" s="228"/>
      <c r="M146" s="228"/>
      <c r="N146" s="228"/>
      <c r="O146" s="228"/>
      <c r="P146" s="228"/>
      <c r="Q146" s="228"/>
      <c r="R146" s="219"/>
    </row>
    <row r="147" spans="1:18" s="12" customFormat="1" ht="14.25" customHeight="1" x14ac:dyDescent="0.25">
      <c r="A147" s="229" t="s">
        <v>207</v>
      </c>
      <c r="B147" s="229"/>
      <c r="C147" s="229"/>
      <c r="D147" s="233">
        <f>-ABS(D35)</f>
        <v>0</v>
      </c>
      <c r="E147" s="233">
        <f>-ABS(E35)</f>
        <v>0</v>
      </c>
      <c r="F147" s="233">
        <f>-ABS(F35)</f>
        <v>0</v>
      </c>
      <c r="G147" s="233">
        <f>-ABS(G35)</f>
        <v>-6000000</v>
      </c>
      <c r="H147" s="233">
        <f t="shared" ref="H147:Q147" ca="1" si="28">IFERROR(-ABS(H47)-ABS(H42),0)</f>
        <v>-550880.08090353652</v>
      </c>
      <c r="I147" s="233">
        <f t="shared" ca="1" si="28"/>
        <v>-552251.5849035366</v>
      </c>
      <c r="J147" s="233">
        <f t="shared" ca="1" si="28"/>
        <v>-553650.51898353652</v>
      </c>
      <c r="K147" s="233">
        <f t="shared" ca="1" si="28"/>
        <v>-555077.43174513651</v>
      </c>
      <c r="L147" s="233">
        <f t="shared" ca="1" si="28"/>
        <v>-607588.82420000911</v>
      </c>
      <c r="M147" s="233">
        <f t="shared" ca="1" si="28"/>
        <v>-606691.20613094547</v>
      </c>
      <c r="N147" s="233">
        <f t="shared" ca="1" si="28"/>
        <v>-605610.64780943911</v>
      </c>
      <c r="O147" s="233">
        <f t="shared" ca="1" si="28"/>
        <v>-604340.19067262008</v>
      </c>
      <c r="P147" s="233">
        <f t="shared" ca="1" si="28"/>
        <v>-602872.67099120491</v>
      </c>
      <c r="Q147" s="233">
        <f t="shared" ca="1" si="28"/>
        <v>-610130.12441102893</v>
      </c>
      <c r="R147" s="207"/>
    </row>
    <row r="148" spans="1:18" s="12" customFormat="1" ht="14.25" customHeight="1" x14ac:dyDescent="0.25">
      <c r="B148" s="32"/>
    </row>
    <row r="149" spans="1:18" s="12" customFormat="1" ht="14.25" customHeight="1" x14ac:dyDescent="0.25">
      <c r="A149" s="90" t="s">
        <v>208</v>
      </c>
      <c r="B149" s="32"/>
      <c r="C149" s="132" t="s">
        <v>159</v>
      </c>
      <c r="H149" s="218"/>
      <c r="I149" s="218"/>
      <c r="J149" s="218"/>
      <c r="K149" s="218"/>
      <c r="L149" s="218"/>
      <c r="M149" s="218"/>
      <c r="N149" s="218"/>
      <c r="O149" s="218"/>
      <c r="P149" s="218"/>
      <c r="Q149" s="218"/>
    </row>
    <row r="150" spans="1:18" s="12" customFormat="1" ht="14.25" customHeight="1" x14ac:dyDescent="0.25">
      <c r="A150" s="12" t="s">
        <v>209</v>
      </c>
      <c r="B150" s="32"/>
      <c r="C150" s="12" t="s">
        <v>138</v>
      </c>
      <c r="H150" s="218">
        <f t="shared" ref="H150:Q150" si="29">IFERROR(IF($B$7=1,($B$22*$B$23*H29)*(H144),($B$22*H24*H29)*(H144)),0)</f>
        <v>265639.5</v>
      </c>
      <c r="I150" s="218">
        <f t="shared" si="29"/>
        <v>283854.77999999997</v>
      </c>
      <c r="J150" s="218">
        <f t="shared" si="29"/>
        <v>302070.06</v>
      </c>
      <c r="K150" s="218">
        <f t="shared" si="29"/>
        <v>320285.33999999997</v>
      </c>
      <c r="L150" s="218">
        <f t="shared" si="29"/>
        <v>338500.62000000005</v>
      </c>
      <c r="M150" s="218">
        <f t="shared" si="29"/>
        <v>356715.89999999997</v>
      </c>
      <c r="N150" s="218">
        <f t="shared" si="29"/>
        <v>374931.18</v>
      </c>
      <c r="O150" s="218">
        <f t="shared" si="29"/>
        <v>393146.45999999996</v>
      </c>
      <c r="P150" s="218">
        <f t="shared" si="29"/>
        <v>411361.74</v>
      </c>
      <c r="Q150" s="218">
        <f t="shared" si="29"/>
        <v>429577.0199999999</v>
      </c>
    </row>
    <row r="151" spans="1:18" s="12" customFormat="1" ht="14.25" customHeight="1" x14ac:dyDescent="0.25">
      <c r="A151" s="231" t="s">
        <v>210</v>
      </c>
      <c r="B151" s="32"/>
      <c r="C151" s="12" t="s">
        <v>138</v>
      </c>
      <c r="H151" s="218">
        <f t="shared" ref="H151:Q151" si="30">IFERROR(IF($B$7=1,($B$22*$B$23*H29)*H101,($B$22*H24*H29)*H101),0)</f>
        <v>515826.09034755174</v>
      </c>
      <c r="I151" s="218">
        <f t="shared" si="30"/>
        <v>516170.27272278146</v>
      </c>
      <c r="J151" s="218">
        <f t="shared" si="30"/>
        <v>516521.33874551591</v>
      </c>
      <c r="K151" s="218">
        <f t="shared" si="30"/>
        <v>516879.42608870508</v>
      </c>
      <c r="L151" s="218">
        <f t="shared" si="30"/>
        <v>523131.95990350854</v>
      </c>
      <c r="M151" s="218">
        <f t="shared" si="30"/>
        <v>527344.46539991396</v>
      </c>
      <c r="N151" s="218">
        <f t="shared" si="30"/>
        <v>533641.26379078103</v>
      </c>
      <c r="O151" s="218">
        <f t="shared" si="30"/>
        <v>537811.44996338512</v>
      </c>
      <c r="P151" s="218">
        <f t="shared" si="30"/>
        <v>548567.67896265152</v>
      </c>
      <c r="Q151" s="218">
        <f t="shared" si="30"/>
        <v>559539.03254190541</v>
      </c>
    </row>
    <row r="152" spans="1:18" s="12" customFormat="1" ht="14.25" customHeight="1" x14ac:dyDescent="0.25">
      <c r="A152" s="231" t="s">
        <v>155</v>
      </c>
      <c r="B152" s="32"/>
      <c r="C152" s="12" t="s">
        <v>138</v>
      </c>
      <c r="D152" s="218">
        <f t="shared" ref="D152:Q152" si="31">D61</f>
        <v>0</v>
      </c>
      <c r="E152" s="218">
        <f t="shared" si="31"/>
        <v>0</v>
      </c>
      <c r="F152" s="218">
        <f t="shared" si="31"/>
        <v>0</v>
      </c>
      <c r="G152" s="218">
        <f t="shared" si="31"/>
        <v>0</v>
      </c>
      <c r="H152" s="218">
        <f t="shared" si="31"/>
        <v>0</v>
      </c>
      <c r="I152" s="218">
        <f t="shared" si="31"/>
        <v>0</v>
      </c>
      <c r="J152" s="218">
        <f t="shared" si="31"/>
        <v>0</v>
      </c>
      <c r="K152" s="218">
        <f t="shared" si="31"/>
        <v>0</v>
      </c>
      <c r="L152" s="218">
        <f t="shared" si="31"/>
        <v>0</v>
      </c>
      <c r="M152" s="218">
        <f t="shared" si="31"/>
        <v>0</v>
      </c>
      <c r="N152" s="218">
        <f t="shared" si="31"/>
        <v>0</v>
      </c>
      <c r="O152" s="218">
        <f t="shared" si="31"/>
        <v>0</v>
      </c>
      <c r="P152" s="218">
        <f t="shared" si="31"/>
        <v>0</v>
      </c>
      <c r="Q152" s="218">
        <f t="shared" si="31"/>
        <v>0</v>
      </c>
    </row>
    <row r="153" spans="1:18" s="12" customFormat="1" ht="14.25" customHeight="1" x14ac:dyDescent="0.25">
      <c r="A153" s="21" t="s">
        <v>156</v>
      </c>
      <c r="B153" s="32"/>
      <c r="C153" s="12" t="s">
        <v>138</v>
      </c>
      <c r="D153" s="218"/>
      <c r="E153" s="218"/>
      <c r="F153" s="218"/>
      <c r="G153" s="218"/>
      <c r="H153" s="218">
        <f t="shared" ref="H153:Q153" si="32">IFERROR(H62*H29*$B$22,0)</f>
        <v>0</v>
      </c>
      <c r="I153" s="218">
        <f t="shared" si="32"/>
        <v>0</v>
      </c>
      <c r="J153" s="218">
        <f t="shared" si="32"/>
        <v>0</v>
      </c>
      <c r="K153" s="218">
        <f t="shared" si="32"/>
        <v>0</v>
      </c>
      <c r="L153" s="218">
        <f t="shared" si="32"/>
        <v>0</v>
      </c>
      <c r="M153" s="218">
        <f t="shared" si="32"/>
        <v>0</v>
      </c>
      <c r="N153" s="218">
        <f t="shared" si="32"/>
        <v>0</v>
      </c>
      <c r="O153" s="218">
        <f t="shared" si="32"/>
        <v>0</v>
      </c>
      <c r="P153" s="218">
        <f t="shared" si="32"/>
        <v>0</v>
      </c>
      <c r="Q153" s="218">
        <f t="shared" si="32"/>
        <v>0</v>
      </c>
    </row>
    <row r="154" spans="1:18" s="12" customFormat="1" ht="14.25" customHeight="1" x14ac:dyDescent="0.25">
      <c r="A154" s="229" t="s">
        <v>211</v>
      </c>
      <c r="B154" s="234"/>
      <c r="C154" s="234" t="s">
        <v>138</v>
      </c>
      <c r="D154" s="235">
        <f t="shared" ref="D154:Q154" si="33">SUM(D150:D153)</f>
        <v>0</v>
      </c>
      <c r="E154" s="235">
        <f t="shared" si="33"/>
        <v>0</v>
      </c>
      <c r="F154" s="235">
        <f t="shared" si="33"/>
        <v>0</v>
      </c>
      <c r="G154" s="235">
        <f t="shared" si="33"/>
        <v>0</v>
      </c>
      <c r="H154" s="235">
        <f t="shared" si="33"/>
        <v>781465.59034755174</v>
      </c>
      <c r="I154" s="235">
        <f t="shared" si="33"/>
        <v>800025.05272278143</v>
      </c>
      <c r="J154" s="235">
        <f t="shared" si="33"/>
        <v>818591.39874551585</v>
      </c>
      <c r="K154" s="235">
        <f t="shared" si="33"/>
        <v>837164.76608870504</v>
      </c>
      <c r="L154" s="235">
        <f t="shared" si="33"/>
        <v>861632.57990350854</v>
      </c>
      <c r="M154" s="235">
        <f t="shared" si="33"/>
        <v>884060.36539991386</v>
      </c>
      <c r="N154" s="235">
        <f t="shared" si="33"/>
        <v>908572.44379078108</v>
      </c>
      <c r="O154" s="235">
        <f t="shared" si="33"/>
        <v>930957.90996338509</v>
      </c>
      <c r="P154" s="235">
        <f t="shared" si="33"/>
        <v>959929.41896265151</v>
      </c>
      <c r="Q154" s="235">
        <f t="shared" si="33"/>
        <v>989116.05254190532</v>
      </c>
      <c r="R154" s="207"/>
    </row>
    <row r="155" spans="1:18" s="12" customFormat="1" ht="14.25" customHeight="1" x14ac:dyDescent="0.25"/>
    <row r="156" spans="1:18" s="12" customFormat="1" ht="14.25" customHeight="1" x14ac:dyDescent="0.25">
      <c r="A156" s="202" t="s">
        <v>212</v>
      </c>
      <c r="B156" s="184"/>
      <c r="C156" s="132" t="s">
        <v>159</v>
      </c>
      <c r="G156" s="183"/>
      <c r="H156" s="236"/>
      <c r="I156" s="236"/>
      <c r="J156" s="236"/>
      <c r="K156" s="236"/>
      <c r="L156" s="236"/>
      <c r="M156" s="236"/>
      <c r="N156" s="236"/>
      <c r="O156" s="236"/>
      <c r="P156" s="236"/>
      <c r="Q156" s="236"/>
    </row>
    <row r="157" spans="1:18" s="12" customFormat="1" ht="14.25" customHeight="1" x14ac:dyDescent="0.25">
      <c r="A157" s="229" t="s">
        <v>213</v>
      </c>
      <c r="B157" s="229"/>
      <c r="C157" s="229"/>
      <c r="D157" s="229"/>
      <c r="E157" s="229"/>
      <c r="F157" s="229"/>
      <c r="G157" s="229"/>
      <c r="H157" s="229"/>
      <c r="I157" s="229"/>
      <c r="J157" s="229"/>
      <c r="K157" s="229"/>
      <c r="L157" s="229"/>
      <c r="M157" s="229"/>
      <c r="N157" s="229"/>
      <c r="O157" s="229"/>
      <c r="P157" s="229"/>
      <c r="Q157" s="229"/>
    </row>
    <row r="158" spans="1:18" s="12" customFormat="1" ht="14.25" customHeight="1" x14ac:dyDescent="0.25">
      <c r="A158" s="12" t="s">
        <v>214</v>
      </c>
      <c r="B158" s="32"/>
      <c r="C158" s="12" t="s">
        <v>138</v>
      </c>
      <c r="H158" s="218">
        <f t="shared" ref="H158:Q158" si="34">-ABS(SUM($D$35:$G$35))/$B$76</f>
        <v>-600000</v>
      </c>
      <c r="I158" s="218">
        <f t="shared" si="34"/>
        <v>-600000</v>
      </c>
      <c r="J158" s="218">
        <f t="shared" si="34"/>
        <v>-600000</v>
      </c>
      <c r="K158" s="218">
        <f t="shared" si="34"/>
        <v>-600000</v>
      </c>
      <c r="L158" s="218">
        <f t="shared" si="34"/>
        <v>-600000</v>
      </c>
      <c r="M158" s="218">
        <f t="shared" si="34"/>
        <v>-600000</v>
      </c>
      <c r="N158" s="218">
        <f t="shared" si="34"/>
        <v>-600000</v>
      </c>
      <c r="O158" s="218">
        <f t="shared" si="34"/>
        <v>-600000</v>
      </c>
      <c r="P158" s="218">
        <f t="shared" si="34"/>
        <v>-600000</v>
      </c>
      <c r="Q158" s="218">
        <f t="shared" si="34"/>
        <v>-600000</v>
      </c>
      <c r="R158" s="93"/>
    </row>
    <row r="159" spans="1:18" s="12" customFormat="1" ht="14.25" customHeight="1" x14ac:dyDescent="0.25">
      <c r="A159" s="231" t="s">
        <v>215</v>
      </c>
      <c r="B159" s="231"/>
      <c r="C159" s="12" t="s">
        <v>138</v>
      </c>
      <c r="F159" s="183"/>
      <c r="G159" s="231"/>
      <c r="H159" s="237">
        <f t="shared" ref="H159:Q159" ca="1" si="35">H147+H158</f>
        <v>-1150880.0809035366</v>
      </c>
      <c r="I159" s="237">
        <f t="shared" ca="1" si="35"/>
        <v>-1152251.5849035366</v>
      </c>
      <c r="J159" s="237">
        <f t="shared" ca="1" si="35"/>
        <v>-1153650.5189835364</v>
      </c>
      <c r="K159" s="237">
        <f t="shared" ca="1" si="35"/>
        <v>-1155077.4317451366</v>
      </c>
      <c r="L159" s="237">
        <f t="shared" ca="1" si="35"/>
        <v>-1207588.824200009</v>
      </c>
      <c r="M159" s="237">
        <f t="shared" ca="1" si="35"/>
        <v>-1206691.2061309456</v>
      </c>
      <c r="N159" s="237">
        <f t="shared" ca="1" si="35"/>
        <v>-1205610.6478094391</v>
      </c>
      <c r="O159" s="237">
        <f t="shared" ca="1" si="35"/>
        <v>-1204340.1906726202</v>
      </c>
      <c r="P159" s="237">
        <f t="shared" ca="1" si="35"/>
        <v>-1202872.6709912049</v>
      </c>
      <c r="Q159" s="237">
        <f t="shared" ca="1" si="35"/>
        <v>-1210130.1244110288</v>
      </c>
    </row>
    <row r="160" spans="1:18" s="12" customFormat="1" ht="14.25" customHeight="1" x14ac:dyDescent="0.25">
      <c r="A160" s="183" t="s">
        <v>216</v>
      </c>
      <c r="B160" s="184"/>
      <c r="C160" s="183" t="s">
        <v>138</v>
      </c>
      <c r="D160" s="183"/>
      <c r="E160" s="183"/>
      <c r="G160" s="236"/>
      <c r="H160" s="236">
        <f t="shared" ref="H160:Q160" ca="1" si="36">H154+H159</f>
        <v>-369414.4905559849</v>
      </c>
      <c r="I160" s="236">
        <f t="shared" ca="1" si="36"/>
        <v>-352226.53218075517</v>
      </c>
      <c r="J160" s="236">
        <f t="shared" ca="1" si="36"/>
        <v>-335059.12023802055</v>
      </c>
      <c r="K160" s="236">
        <f t="shared" ca="1" si="36"/>
        <v>-317912.66565643158</v>
      </c>
      <c r="L160" s="236">
        <f t="shared" ca="1" si="36"/>
        <v>-345956.24429650046</v>
      </c>
      <c r="M160" s="236">
        <f t="shared" ca="1" si="36"/>
        <v>-322630.84073103173</v>
      </c>
      <c r="N160" s="236">
        <f t="shared" ca="1" si="36"/>
        <v>-297038.20401865803</v>
      </c>
      <c r="O160" s="236">
        <f t="shared" ca="1" si="36"/>
        <v>-273382.28070923511</v>
      </c>
      <c r="P160" s="236">
        <f t="shared" ca="1" si="36"/>
        <v>-242943.2520285534</v>
      </c>
      <c r="Q160" s="236">
        <f t="shared" ca="1" si="36"/>
        <v>-221014.07186912349</v>
      </c>
      <c r="R160" s="219"/>
    </row>
    <row r="161" spans="1:20" s="12" customFormat="1" ht="14.25" customHeight="1" x14ac:dyDescent="0.25">
      <c r="A161" s="229" t="s">
        <v>217</v>
      </c>
      <c r="B161" s="234"/>
      <c r="C161" s="234" t="s">
        <v>138</v>
      </c>
      <c r="D161" s="238"/>
      <c r="E161" s="238"/>
      <c r="F161" s="238"/>
      <c r="G161" s="238"/>
      <c r="H161" s="253">
        <f t="shared" ref="H161:Q161" ca="1" si="37">H160*$B$82-H63</f>
        <v>-92353.622638996225</v>
      </c>
      <c r="I161" s="253">
        <f t="shared" ca="1" si="37"/>
        <v>-88056.633045188792</v>
      </c>
      <c r="J161" s="253">
        <f t="shared" ca="1" si="37"/>
        <v>-83764.780059505138</v>
      </c>
      <c r="K161" s="253">
        <f t="shared" ca="1" si="37"/>
        <v>-79478.166414107895</v>
      </c>
      <c r="L161" s="253">
        <f t="shared" ca="1" si="37"/>
        <v>-86489.061074125115</v>
      </c>
      <c r="M161" s="253">
        <f t="shared" ca="1" si="37"/>
        <v>-80657.710182757932</v>
      </c>
      <c r="N161" s="253">
        <f t="shared" ca="1" si="37"/>
        <v>-74259.551004664507</v>
      </c>
      <c r="O161" s="253">
        <f t="shared" ca="1" si="37"/>
        <v>-68345.570177308779</v>
      </c>
      <c r="P161" s="253">
        <f t="shared" ca="1" si="37"/>
        <v>-60735.813007138349</v>
      </c>
      <c r="Q161" s="253">
        <f t="shared" ca="1" si="37"/>
        <v>-55253.517967280874</v>
      </c>
    </row>
    <row r="162" spans="1:20" s="12" customFormat="1" ht="14.25" customHeight="1" x14ac:dyDescent="0.25">
      <c r="A162" s="183"/>
      <c r="B162" s="184"/>
      <c r="G162" s="183"/>
      <c r="H162" s="236"/>
      <c r="I162" s="236"/>
      <c r="J162" s="236"/>
      <c r="K162" s="236"/>
      <c r="L162" s="236"/>
      <c r="M162" s="236"/>
      <c r="N162" s="236"/>
      <c r="O162" s="236"/>
      <c r="P162" s="236"/>
      <c r="Q162" s="236"/>
    </row>
    <row r="163" spans="1:20" s="12" customFormat="1" ht="14.25" customHeight="1" x14ac:dyDescent="0.25">
      <c r="A163" s="90" t="s">
        <v>218</v>
      </c>
      <c r="B163" s="32"/>
      <c r="C163" s="132" t="s">
        <v>159</v>
      </c>
      <c r="T163" s="239"/>
    </row>
    <row r="164" spans="1:20" s="12" customFormat="1" ht="14.25" customHeight="1" x14ac:dyDescent="0.25">
      <c r="A164" s="229" t="s">
        <v>219</v>
      </c>
      <c r="B164" s="229"/>
      <c r="C164" s="229"/>
      <c r="D164" s="229"/>
      <c r="E164" s="229"/>
      <c r="F164" s="229"/>
      <c r="G164" s="229"/>
      <c r="H164" s="229"/>
      <c r="I164" s="229"/>
      <c r="J164" s="229"/>
      <c r="K164" s="229"/>
      <c r="L164" s="229"/>
      <c r="M164" s="229"/>
      <c r="N164" s="229"/>
      <c r="O164" s="229"/>
      <c r="P164" s="229"/>
      <c r="Q164" s="229"/>
      <c r="T164" s="239"/>
    </row>
    <row r="165" spans="1:20" s="12" customFormat="1" ht="14.25" customHeight="1" x14ac:dyDescent="0.25">
      <c r="A165" s="183" t="s">
        <v>220</v>
      </c>
      <c r="B165" s="184"/>
      <c r="C165" s="12" t="s">
        <v>138</v>
      </c>
      <c r="D165" s="186">
        <f t="shared" ref="D165:Q165" si="38">D147+D154-D161</f>
        <v>0</v>
      </c>
      <c r="E165" s="186">
        <f t="shared" si="38"/>
        <v>0</v>
      </c>
      <c r="F165" s="186">
        <f t="shared" si="38"/>
        <v>0</v>
      </c>
      <c r="G165" s="186">
        <f t="shared" si="38"/>
        <v>-6000000</v>
      </c>
      <c r="H165" s="186">
        <f t="shared" ca="1" si="38"/>
        <v>322939.13208301144</v>
      </c>
      <c r="I165" s="186">
        <f t="shared" ca="1" si="38"/>
        <v>335830.10086443363</v>
      </c>
      <c r="J165" s="186">
        <f t="shared" ca="1" si="38"/>
        <v>348705.65982148447</v>
      </c>
      <c r="K165" s="186">
        <f t="shared" ca="1" si="38"/>
        <v>361565.50075767643</v>
      </c>
      <c r="L165" s="186">
        <f t="shared" ca="1" si="38"/>
        <v>340532.81677762454</v>
      </c>
      <c r="M165" s="186">
        <f t="shared" ca="1" si="38"/>
        <v>358026.86945172632</v>
      </c>
      <c r="N165" s="186">
        <f t="shared" ca="1" si="38"/>
        <v>377221.34698600648</v>
      </c>
      <c r="O165" s="186">
        <f t="shared" ca="1" si="38"/>
        <v>394963.28946807375</v>
      </c>
      <c r="P165" s="186">
        <f t="shared" ca="1" si="38"/>
        <v>417792.56097858492</v>
      </c>
      <c r="Q165" s="186">
        <f t="shared" ca="1" si="38"/>
        <v>434239.44609815726</v>
      </c>
    </row>
    <row r="166" spans="1:20" s="12" customFormat="1" ht="14.25" customHeight="1" x14ac:dyDescent="0.25">
      <c r="A166" s="183" t="s">
        <v>221</v>
      </c>
      <c r="B166" s="183"/>
      <c r="C166" s="12" t="s">
        <v>138</v>
      </c>
      <c r="D166" s="186">
        <f>D165</f>
        <v>0</v>
      </c>
      <c r="E166" s="186">
        <f>E165</f>
        <v>0</v>
      </c>
      <c r="F166" s="186">
        <f>F165</f>
        <v>0</v>
      </c>
      <c r="G166" s="186">
        <f>G165</f>
        <v>-6000000</v>
      </c>
      <c r="H166" s="186">
        <f t="shared" ref="H166:Q166" ca="1" si="39">H165+H87</f>
        <v>521017.24572307628</v>
      </c>
      <c r="I166" s="186">
        <f t="shared" ca="1" si="39"/>
        <v>516720.25612926873</v>
      </c>
      <c r="J166" s="186">
        <f t="shared" ca="1" si="39"/>
        <v>512428.40314358496</v>
      </c>
      <c r="K166" s="186">
        <f t="shared" ca="1" si="39"/>
        <v>508141.78949818783</v>
      </c>
      <c r="L166" s="186">
        <f t="shared" ca="1" si="39"/>
        <v>515152.68415820505</v>
      </c>
      <c r="M166" s="186">
        <f t="shared" ca="1" si="39"/>
        <v>509321.33326683776</v>
      </c>
      <c r="N166" s="186">
        <f t="shared" ca="1" si="39"/>
        <v>502923.17408874468</v>
      </c>
      <c r="O166" s="186">
        <f t="shared" ca="1" si="39"/>
        <v>497009.19326138892</v>
      </c>
      <c r="P166" s="186">
        <f t="shared" ca="1" si="39"/>
        <v>490917.37609121832</v>
      </c>
      <c r="Q166" s="186">
        <f t="shared" ca="1" si="39"/>
        <v>503650.36105136079</v>
      </c>
      <c r="R166" s="240"/>
      <c r="S166" s="183"/>
      <c r="T166" s="183"/>
    </row>
    <row r="167" spans="1:20" s="12" customFormat="1" ht="14.25" customHeight="1" x14ac:dyDescent="0.25">
      <c r="A167" s="183" t="s">
        <v>222</v>
      </c>
      <c r="B167" s="184"/>
      <c r="C167" s="12" t="s">
        <v>138</v>
      </c>
      <c r="G167" s="186"/>
      <c r="H167" s="186"/>
      <c r="I167" s="186"/>
      <c r="J167" s="186"/>
      <c r="K167" s="186"/>
      <c r="L167" s="186"/>
      <c r="M167" s="186"/>
      <c r="N167" s="186"/>
      <c r="O167" s="186"/>
      <c r="P167" s="186"/>
      <c r="Q167" s="186"/>
      <c r="R167" s="219"/>
      <c r="S167" s="183"/>
      <c r="T167" s="183"/>
    </row>
    <row r="168" spans="1:20" s="12" customFormat="1" ht="14.25" customHeight="1" x14ac:dyDescent="0.25">
      <c r="A168" s="90"/>
      <c r="B168" s="32"/>
      <c r="R168" s="240"/>
    </row>
    <row r="169" spans="1:20" s="12" customFormat="1" ht="14.25" customHeight="1" x14ac:dyDescent="0.25">
      <c r="A169" s="90" t="s">
        <v>223</v>
      </c>
      <c r="B169" s="32"/>
      <c r="C169" s="132" t="s">
        <v>159</v>
      </c>
      <c r="D169" s="175"/>
      <c r="E169" s="175"/>
      <c r="F169" s="175"/>
      <c r="G169" s="175"/>
      <c r="H169" s="175"/>
      <c r="I169" s="175"/>
      <c r="J169" s="175"/>
      <c r="K169" s="175"/>
      <c r="L169" s="175"/>
      <c r="M169" s="175"/>
      <c r="N169" s="175"/>
      <c r="O169" s="175"/>
      <c r="P169" s="175"/>
      <c r="Q169" s="175"/>
      <c r="R169" s="240"/>
    </row>
    <row r="170" spans="1:20" s="12" customFormat="1" ht="14.25" customHeight="1" x14ac:dyDescent="0.25">
      <c r="A170" s="229" t="s">
        <v>224</v>
      </c>
      <c r="B170" s="229"/>
      <c r="C170" s="230"/>
      <c r="D170" s="230"/>
      <c r="E170" s="230"/>
      <c r="F170" s="230"/>
      <c r="G170" s="230"/>
      <c r="H170" s="230"/>
      <c r="I170" s="230"/>
      <c r="J170" s="230"/>
      <c r="K170" s="230"/>
      <c r="L170" s="230"/>
      <c r="M170" s="230"/>
      <c r="N170" s="230"/>
      <c r="O170" s="230"/>
      <c r="P170" s="230"/>
      <c r="Q170" s="230"/>
      <c r="R170" s="241"/>
    </row>
    <row r="171" spans="1:20" s="12" customFormat="1" ht="14.25" customHeight="1" x14ac:dyDescent="0.25">
      <c r="A171" s="183" t="s">
        <v>225</v>
      </c>
      <c r="B171" s="177"/>
      <c r="C171" s="185"/>
      <c r="D171" s="242">
        <f t="shared" ref="D171:P171" si="40">E171*(1+E83)</f>
        <v>2.5684363606989304</v>
      </c>
      <c r="E171" s="242">
        <f t="shared" si="40"/>
        <v>2.3886681793558346</v>
      </c>
      <c r="F171" s="242">
        <f t="shared" si="40"/>
        <v>2.2214822054280745</v>
      </c>
      <c r="G171" s="242">
        <f t="shared" si="40"/>
        <v>2.0659977939524552</v>
      </c>
      <c r="H171" s="242">
        <f t="shared" si="40"/>
        <v>1.9213959374452476</v>
      </c>
      <c r="I171" s="242">
        <f t="shared" si="40"/>
        <v>1.7869149518153167</v>
      </c>
      <c r="J171" s="242">
        <f t="shared" si="40"/>
        <v>1.661846464225766</v>
      </c>
      <c r="K171" s="242">
        <f t="shared" si="40"/>
        <v>1.5455316817703331</v>
      </c>
      <c r="L171" s="242">
        <f t="shared" si="40"/>
        <v>1.4373579213099481</v>
      </c>
      <c r="M171" s="242">
        <f t="shared" si="40"/>
        <v>1.3367553821905176</v>
      </c>
      <c r="N171" s="242">
        <f t="shared" si="40"/>
        <v>1.2431941448423625</v>
      </c>
      <c r="O171" s="242">
        <f t="shared" si="40"/>
        <v>1.1561813794515623</v>
      </c>
      <c r="P171" s="242">
        <f t="shared" si="40"/>
        <v>1.0752587499999999</v>
      </c>
      <c r="Q171" s="185">
        <f>1</f>
        <v>1</v>
      </c>
      <c r="R171" s="241"/>
    </row>
    <row r="172" spans="1:20" s="12" customFormat="1" ht="14.25" customHeight="1" x14ac:dyDescent="0.25">
      <c r="A172" s="183" t="s">
        <v>226</v>
      </c>
      <c r="B172" s="183"/>
      <c r="C172" s="12" t="s">
        <v>138</v>
      </c>
      <c r="D172" s="243">
        <f t="shared" ref="D172:Q172" si="41">D166*D171</f>
        <v>0</v>
      </c>
      <c r="E172" s="243">
        <f t="shared" si="41"/>
        <v>0</v>
      </c>
      <c r="F172" s="243">
        <f t="shared" si="41"/>
        <v>0</v>
      </c>
      <c r="G172" s="243">
        <f t="shared" si="41"/>
        <v>-12395986.763714731</v>
      </c>
      <c r="H172" s="243">
        <f t="shared" ca="1" si="41"/>
        <v>1001080.419271231</v>
      </c>
      <c r="I172" s="243">
        <f t="shared" ca="1" si="41"/>
        <v>923335.15158323036</v>
      </c>
      <c r="J172" s="243">
        <f t="shared" ca="1" si="41"/>
        <v>851577.32993302203</v>
      </c>
      <c r="K172" s="243">
        <f t="shared" ca="1" si="41"/>
        <v>785349.23450092087</v>
      </c>
      <c r="L172" s="243">
        <f t="shared" ca="1" si="41"/>
        <v>740458.79125887784</v>
      </c>
      <c r="M172" s="243">
        <f t="shared" ca="1" si="41"/>
        <v>680838.03350889566</v>
      </c>
      <c r="N172" s="243">
        <f t="shared" ca="1" si="41"/>
        <v>625231.14533266355</v>
      </c>
      <c r="O172" s="243">
        <f t="shared" ca="1" si="41"/>
        <v>574632.7746650608</v>
      </c>
      <c r="P172" s="243">
        <f t="shared" ca="1" si="41"/>
        <v>527863.20416912332</v>
      </c>
      <c r="Q172" s="243">
        <f t="shared" ca="1" si="41"/>
        <v>503650.36105136079</v>
      </c>
      <c r="R172" s="241"/>
      <c r="S172" s="183"/>
      <c r="T172" s="183"/>
    </row>
    <row r="173" spans="1:20" s="12" customFormat="1" ht="14.25" customHeight="1" x14ac:dyDescent="0.25">
      <c r="A173" s="183" t="s">
        <v>227</v>
      </c>
      <c r="B173" s="183"/>
      <c r="C173" s="12" t="s">
        <v>138</v>
      </c>
      <c r="G173" s="243"/>
      <c r="H173" s="243"/>
      <c r="I173" s="243"/>
      <c r="J173" s="243"/>
      <c r="K173" s="243"/>
      <c r="L173" s="243"/>
      <c r="M173" s="243"/>
      <c r="N173" s="243"/>
      <c r="O173" s="243"/>
      <c r="P173" s="243"/>
      <c r="Q173" s="243">
        <f ca="1">SUM(D172:Q172)</f>
        <v>-5181970.318440346</v>
      </c>
      <c r="R173" s="277"/>
      <c r="S173" s="244"/>
      <c r="T173" s="245"/>
    </row>
    <row r="174" spans="1:20" s="12" customFormat="1" ht="14.25" customHeight="1" x14ac:dyDescent="0.25">
      <c r="A174" s="183" t="s">
        <v>228</v>
      </c>
      <c r="B174" s="183"/>
      <c r="C174" s="12" t="s">
        <v>138</v>
      </c>
      <c r="G174" s="243"/>
      <c r="H174" s="243"/>
      <c r="I174" s="243"/>
      <c r="J174" s="243"/>
      <c r="K174" s="243"/>
      <c r="L174" s="243"/>
      <c r="M174" s="243"/>
      <c r="N174" s="243"/>
      <c r="O174" s="243"/>
      <c r="P174" s="243"/>
      <c r="Q174" s="243">
        <f>0</f>
        <v>0</v>
      </c>
      <c r="R174" s="219"/>
      <c r="S174" s="244"/>
      <c r="T174" s="245"/>
    </row>
    <row r="175" spans="1:20" s="12" customFormat="1" ht="14.25" customHeight="1" x14ac:dyDescent="0.25">
      <c r="A175" s="183" t="s">
        <v>229</v>
      </c>
      <c r="B175" s="183"/>
      <c r="C175" s="12" t="s">
        <v>138</v>
      </c>
      <c r="G175" s="243"/>
      <c r="H175" s="243"/>
      <c r="I175" s="243"/>
      <c r="J175" s="243"/>
      <c r="K175" s="243"/>
      <c r="L175" s="243"/>
      <c r="M175" s="243"/>
      <c r="N175" s="243"/>
      <c r="O175" s="243"/>
      <c r="P175" s="243"/>
      <c r="Q175" s="243">
        <f ca="1">Q173+Q174</f>
        <v>-5181970.318440346</v>
      </c>
      <c r="R175" s="207"/>
      <c r="S175" s="244"/>
      <c r="T175" s="245"/>
    </row>
    <row r="176" spans="1:20" s="12" customFormat="1" ht="14.25" customHeight="1" x14ac:dyDescent="0.25">
      <c r="A176" s="12" t="s">
        <v>230</v>
      </c>
      <c r="B176" s="32"/>
      <c r="C176" s="12" t="s">
        <v>138</v>
      </c>
      <c r="G176" s="218"/>
      <c r="H176" s="218">
        <f ca="1">IF($Q$175&gt;0,$Q$175/H171-NPV(H83,I87:$R$87),0)</f>
        <v>0</v>
      </c>
      <c r="I176" s="218">
        <f ca="1">IF($Q$175&gt;0,$Q$175/I171-NPV(I83,J87:$R$87),0)</f>
        <v>0</v>
      </c>
      <c r="J176" s="218">
        <f ca="1">IF($Q$175&gt;0,$Q$175/J171-NPV(J83,K87:$R$87),0)</f>
        <v>0</v>
      </c>
      <c r="K176" s="218">
        <f ca="1">IF($Q$175&gt;0,$Q$175/K171-NPV(K83,L87:$R$87),0)</f>
        <v>0</v>
      </c>
      <c r="L176" s="218">
        <f ca="1">IF($Q$175&gt;0,$Q$175/L171-NPV(L83,M87:$R$87),0)</f>
        <v>0</v>
      </c>
      <c r="M176" s="218">
        <f ca="1">IF($Q$175&gt;0,$Q$175/M171-NPV(M83,N87:$R$87),0)</f>
        <v>0</v>
      </c>
      <c r="N176" s="218">
        <f ca="1">IF($Q$175&gt;0,$Q$175/N171-NPV(N83,O87:$R$87),0)</f>
        <v>0</v>
      </c>
      <c r="O176" s="218">
        <f ca="1">IF($Q$175&gt;0,$Q$175/O171-NPV(O83,P87:$R$87),0)</f>
        <v>0</v>
      </c>
      <c r="P176" s="218">
        <f ca="1">IF($Q$175&gt;0,$Q$175/P171-NPV(P83,Q87:$R$87),0)</f>
        <v>0</v>
      </c>
      <c r="Q176" s="218">
        <f ca="1">IF($Q$175&gt;0,$Q$175/Q171-NPV(Q83,R87:$R$87),0)</f>
        <v>0</v>
      </c>
      <c r="R176" s="207"/>
      <c r="S176" s="277"/>
    </row>
    <row r="177" spans="1:20" s="12" customFormat="1" ht="14.25" customHeight="1" x14ac:dyDescent="0.25">
      <c r="A177" s="183"/>
      <c r="B177" s="183"/>
      <c r="D177" s="218"/>
      <c r="E177" s="218"/>
      <c r="F177" s="218"/>
      <c r="G177" s="218"/>
      <c r="H177" s="218"/>
      <c r="I177" s="218"/>
      <c r="J177" s="218"/>
      <c r="K177" s="218"/>
      <c r="L177" s="218"/>
      <c r="M177" s="218"/>
      <c r="N177" s="218"/>
      <c r="O177" s="218"/>
      <c r="P177" s="218"/>
      <c r="Q177" s="218"/>
      <c r="R177" s="241"/>
      <c r="S177" s="183"/>
      <c r="T177" s="183"/>
    </row>
    <row r="178" spans="1:20" s="12" customFormat="1" ht="14.25" customHeight="1" x14ac:dyDescent="0.25">
      <c r="A178" s="229" t="s">
        <v>231</v>
      </c>
      <c r="B178" s="229"/>
      <c r="C178" s="230"/>
      <c r="D178" s="230"/>
      <c r="E178" s="230"/>
      <c r="F178" s="230"/>
      <c r="G178" s="230"/>
      <c r="H178" s="230"/>
      <c r="I178" s="230"/>
      <c r="J178" s="230"/>
      <c r="K178" s="230"/>
      <c r="L178" s="230"/>
      <c r="M178" s="230"/>
      <c r="N178" s="230"/>
      <c r="O178" s="230"/>
      <c r="P178" s="230"/>
      <c r="Q178" s="230"/>
    </row>
    <row r="179" spans="1:20" s="12" customFormat="1" ht="14.25" customHeight="1" x14ac:dyDescent="0.25">
      <c r="A179" s="179" t="s">
        <v>232</v>
      </c>
      <c r="B179" s="179"/>
      <c r="C179" s="179" t="s">
        <v>138</v>
      </c>
      <c r="D179" s="179"/>
      <c r="E179" s="179"/>
      <c r="F179" s="179"/>
      <c r="G179" s="179"/>
      <c r="H179" s="246">
        <f t="shared" ref="H179:Q179" ca="1" si="42">IF(H176&gt;0,IF(H176&gt;=H87,IF(H87&gt;0,H87,0),H176),0)</f>
        <v>0</v>
      </c>
      <c r="I179" s="246">
        <f t="shared" ca="1" si="42"/>
        <v>0</v>
      </c>
      <c r="J179" s="246">
        <f t="shared" ca="1" si="42"/>
        <v>0</v>
      </c>
      <c r="K179" s="246">
        <f t="shared" ca="1" si="42"/>
        <v>0</v>
      </c>
      <c r="L179" s="246">
        <f t="shared" ca="1" si="42"/>
        <v>0</v>
      </c>
      <c r="M179" s="246">
        <f t="shared" ca="1" si="42"/>
        <v>0</v>
      </c>
      <c r="N179" s="246">
        <f t="shared" ca="1" si="42"/>
        <v>0</v>
      </c>
      <c r="O179" s="246">
        <f t="shared" ca="1" si="42"/>
        <v>0</v>
      </c>
      <c r="P179" s="246">
        <f t="shared" ca="1" si="42"/>
        <v>0</v>
      </c>
      <c r="Q179" s="246">
        <f t="shared" ca="1" si="42"/>
        <v>0</v>
      </c>
      <c r="R179" s="176"/>
    </row>
    <row r="180" spans="1:20" s="12" customFormat="1" ht="14.25" customHeight="1" x14ac:dyDescent="0.25">
      <c r="A180" s="12" t="s">
        <v>233</v>
      </c>
      <c r="B180" s="183"/>
      <c r="C180" s="12" t="s">
        <v>138</v>
      </c>
      <c r="G180" s="218"/>
      <c r="H180" s="197">
        <f t="shared" ref="H180:Q180" ca="1" si="43">H179+G180*(1+H84)</f>
        <v>0</v>
      </c>
      <c r="I180" s="197">
        <f t="shared" ca="1" si="43"/>
        <v>0</v>
      </c>
      <c r="J180" s="197">
        <f t="shared" ca="1" si="43"/>
        <v>0</v>
      </c>
      <c r="K180" s="197">
        <f t="shared" ca="1" si="43"/>
        <v>0</v>
      </c>
      <c r="L180" s="197">
        <f t="shared" ca="1" si="43"/>
        <v>0</v>
      </c>
      <c r="M180" s="197">
        <f t="shared" ca="1" si="43"/>
        <v>0</v>
      </c>
      <c r="N180" s="197">
        <f t="shared" ca="1" si="43"/>
        <v>0</v>
      </c>
      <c r="O180" s="197">
        <f t="shared" ca="1" si="43"/>
        <v>0</v>
      </c>
      <c r="P180" s="197">
        <f t="shared" ca="1" si="43"/>
        <v>0</v>
      </c>
      <c r="Q180" s="197">
        <f t="shared" ca="1" si="43"/>
        <v>0</v>
      </c>
      <c r="R180" s="219"/>
      <c r="S180" s="277"/>
    </row>
    <row r="181" spans="1:20" s="12" customFormat="1" ht="14.25" customHeight="1" x14ac:dyDescent="0.25">
      <c r="B181" s="183"/>
      <c r="C181" s="175"/>
      <c r="D181" s="175"/>
      <c r="E181" s="175"/>
      <c r="F181" s="175"/>
      <c r="G181" s="176"/>
      <c r="H181" s="176"/>
      <c r="I181" s="176"/>
      <c r="J181" s="176"/>
      <c r="K181" s="176"/>
      <c r="L181" s="176"/>
      <c r="M181" s="176"/>
      <c r="N181" s="176"/>
      <c r="O181" s="176"/>
      <c r="P181" s="176"/>
      <c r="Q181" s="176"/>
      <c r="R181" s="207"/>
      <c r="S181" s="277"/>
    </row>
    <row r="182" spans="1:20" s="12" customFormat="1" ht="14.25" customHeight="1" x14ac:dyDescent="0.25">
      <c r="B182" s="183"/>
      <c r="C182" s="175"/>
      <c r="D182" s="175"/>
      <c r="E182" s="175"/>
      <c r="F182" s="175"/>
      <c r="G182" s="176"/>
      <c r="H182" s="176"/>
      <c r="I182" s="176"/>
      <c r="J182" s="176"/>
      <c r="K182" s="176"/>
      <c r="L182" s="176"/>
      <c r="M182" s="176"/>
      <c r="N182" s="176"/>
      <c r="O182" s="176"/>
      <c r="P182" s="176"/>
      <c r="Q182" s="176"/>
      <c r="R182" s="207"/>
      <c r="S182" s="277"/>
    </row>
    <row r="183" spans="1:20" s="183" customFormat="1" ht="21" x14ac:dyDescent="0.35">
      <c r="A183" s="209" t="s">
        <v>234</v>
      </c>
      <c r="B183" s="210">
        <f ca="1">IF(Q180&gt;0,Q180,0)</f>
        <v>0</v>
      </c>
      <c r="D183" s="284" t="s">
        <v>235</v>
      </c>
      <c r="E183" s="248"/>
      <c r="F183" s="248"/>
      <c r="H183" s="186"/>
      <c r="I183" s="186"/>
      <c r="J183" s="186"/>
      <c r="K183" s="186"/>
      <c r="L183" s="186"/>
      <c r="M183" s="186"/>
      <c r="N183" s="186"/>
      <c r="O183" s="186"/>
      <c r="P183" s="186"/>
      <c r="Q183" s="186"/>
      <c r="R183" s="202"/>
    </row>
    <row r="184" spans="1:20" s="12" customFormat="1" ht="18.600000000000001" customHeight="1" x14ac:dyDescent="0.25">
      <c r="R184" s="207"/>
    </row>
    <row r="185" spans="1:20" s="12" customFormat="1" ht="18.600000000000001" customHeight="1" x14ac:dyDescent="0.25">
      <c r="B185" s="32"/>
    </row>
    <row r="186" spans="1:20" s="12" customFormat="1" ht="14.25" customHeight="1" x14ac:dyDescent="0.25">
      <c r="B186" s="32"/>
    </row>
    <row r="187" spans="1:20" s="12" customFormat="1" ht="14.25" customHeight="1" x14ac:dyDescent="0.25">
      <c r="B187" s="32"/>
    </row>
    <row r="188" spans="1:20" s="12" customFormat="1" ht="14.25" customHeight="1" x14ac:dyDescent="0.25">
      <c r="A188" s="90" t="s">
        <v>236</v>
      </c>
      <c r="B188" s="32"/>
      <c r="D188" s="249">
        <v>-4</v>
      </c>
      <c r="E188" s="249">
        <v>-3</v>
      </c>
      <c r="F188" s="249">
        <v>-2</v>
      </c>
      <c r="G188" s="249">
        <v>-1</v>
      </c>
      <c r="H188" s="250">
        <v>1</v>
      </c>
      <c r="I188" s="250">
        <v>2</v>
      </c>
      <c r="J188" s="250">
        <v>3</v>
      </c>
      <c r="K188" s="250">
        <v>4</v>
      </c>
      <c r="L188" s="250">
        <v>5</v>
      </c>
      <c r="M188" s="250">
        <v>6</v>
      </c>
      <c r="N188" s="250">
        <v>7</v>
      </c>
      <c r="O188" s="250">
        <v>8</v>
      </c>
      <c r="P188" s="250">
        <v>9</v>
      </c>
      <c r="Q188" s="250">
        <v>10</v>
      </c>
    </row>
    <row r="189" spans="1:20" s="12" customFormat="1" ht="14.25" customHeight="1" x14ac:dyDescent="0.35">
      <c r="A189" s="12" t="s">
        <v>61</v>
      </c>
      <c r="B189" s="183" t="s">
        <v>189</v>
      </c>
      <c r="H189" s="251">
        <f t="shared" ref="H189:Q189" si="44">$B$11</f>
        <v>469.54314720812187</v>
      </c>
      <c r="I189" s="251">
        <f t="shared" si="44"/>
        <v>469.54314720812187</v>
      </c>
      <c r="J189" s="251">
        <f t="shared" si="44"/>
        <v>469.54314720812187</v>
      </c>
      <c r="K189" s="251">
        <f t="shared" si="44"/>
        <v>469.54314720812187</v>
      </c>
      <c r="L189" s="251">
        <f t="shared" si="44"/>
        <v>469.54314720812187</v>
      </c>
      <c r="M189" s="251">
        <f t="shared" si="44"/>
        <v>469.54314720812187</v>
      </c>
      <c r="N189" s="251">
        <f t="shared" si="44"/>
        <v>469.54314720812187</v>
      </c>
      <c r="O189" s="251">
        <f t="shared" si="44"/>
        <v>469.54314720812187</v>
      </c>
      <c r="P189" s="251">
        <f t="shared" si="44"/>
        <v>469.54314720812187</v>
      </c>
      <c r="Q189" s="251">
        <f t="shared" si="44"/>
        <v>469.54314720812187</v>
      </c>
    </row>
    <row r="190" spans="1:20" s="12" customFormat="1" ht="14.25" customHeight="1" x14ac:dyDescent="0.35">
      <c r="A190" s="12" t="s">
        <v>237</v>
      </c>
      <c r="B190" s="183" t="s">
        <v>189</v>
      </c>
      <c r="H190" s="251">
        <f t="shared" ref="H190:Q190" si="45">$B$12</f>
        <v>400</v>
      </c>
      <c r="I190" s="251">
        <f t="shared" si="45"/>
        <v>400</v>
      </c>
      <c r="J190" s="251">
        <f t="shared" si="45"/>
        <v>400</v>
      </c>
      <c r="K190" s="251">
        <f t="shared" si="45"/>
        <v>400</v>
      </c>
      <c r="L190" s="251">
        <f t="shared" si="45"/>
        <v>400</v>
      </c>
      <c r="M190" s="251">
        <f t="shared" si="45"/>
        <v>400</v>
      </c>
      <c r="N190" s="251">
        <f t="shared" si="45"/>
        <v>400</v>
      </c>
      <c r="O190" s="251">
        <f t="shared" si="45"/>
        <v>400</v>
      </c>
      <c r="P190" s="251">
        <f t="shared" si="45"/>
        <v>400</v>
      </c>
      <c r="Q190" s="251">
        <f t="shared" si="45"/>
        <v>400</v>
      </c>
    </row>
    <row r="191" spans="1:20" s="12" customFormat="1" ht="14.25" customHeight="1" x14ac:dyDescent="0.35">
      <c r="A191" s="12" t="s">
        <v>158</v>
      </c>
      <c r="B191" s="183" t="s">
        <v>189</v>
      </c>
      <c r="H191" s="251">
        <f t="shared" ref="H191:Q191" si="46">H66</f>
        <v>233.8</v>
      </c>
      <c r="I191" s="251">
        <f t="shared" si="46"/>
        <v>233.8</v>
      </c>
      <c r="J191" s="251">
        <f t="shared" si="46"/>
        <v>233.8</v>
      </c>
      <c r="K191" s="251">
        <f t="shared" si="46"/>
        <v>233.8</v>
      </c>
      <c r="L191" s="251">
        <f t="shared" si="46"/>
        <v>233.8</v>
      </c>
      <c r="M191" s="251">
        <f t="shared" si="46"/>
        <v>233.8</v>
      </c>
      <c r="N191" s="251">
        <f t="shared" si="46"/>
        <v>233.8</v>
      </c>
      <c r="O191" s="251">
        <f t="shared" si="46"/>
        <v>233.8</v>
      </c>
      <c r="P191" s="251">
        <f t="shared" si="46"/>
        <v>233.8</v>
      </c>
      <c r="Q191" s="251">
        <f t="shared" si="46"/>
        <v>233.8</v>
      </c>
    </row>
    <row r="192" spans="1:20" s="12" customFormat="1" ht="14.25" customHeight="1" x14ac:dyDescent="0.35">
      <c r="A192" s="12" t="s">
        <v>192</v>
      </c>
      <c r="B192" s="183" t="s">
        <v>189</v>
      </c>
      <c r="H192" s="251">
        <f t="shared" ref="H192:Q192" ca="1" si="47">H117</f>
        <v>323.40011383356352</v>
      </c>
      <c r="I192" s="251">
        <f t="shared" ca="1" si="47"/>
        <v>330.04696456725179</v>
      </c>
      <c r="J192" s="251">
        <f t="shared" ca="1" si="47"/>
        <v>336.68586967604824</v>
      </c>
      <c r="K192" s="251">
        <f t="shared" ca="1" si="47"/>
        <v>343.31667024745491</v>
      </c>
      <c r="L192" s="251">
        <f t="shared" ca="1" si="47"/>
        <v>332.47178237946832</v>
      </c>
      <c r="M192" s="251">
        <f t="shared" ca="1" si="47"/>
        <v>341.49207859022414</v>
      </c>
      <c r="N192" s="251">
        <f t="shared" ca="1" si="47"/>
        <v>351.38914910872199</v>
      </c>
      <c r="O192" s="251">
        <f t="shared" ca="1" si="47"/>
        <v>360.53726244322439</v>
      </c>
      <c r="P192" s="251">
        <f t="shared" ca="1" si="47"/>
        <v>371.72149708701363</v>
      </c>
      <c r="Q192" s="251">
        <f t="shared" ca="1" si="47"/>
        <v>373.15772002057196</v>
      </c>
    </row>
    <row r="193" spans="1:17" s="12" customFormat="1" ht="14.25" customHeight="1" x14ac:dyDescent="0.35">
      <c r="A193" s="12" t="s">
        <v>174</v>
      </c>
      <c r="B193" s="183" t="s">
        <v>189</v>
      </c>
      <c r="H193" s="251">
        <f t="shared" ref="H193:Q193" si="48">IFERROR(H101*1000/H71,"")</f>
        <v>199.47796894966194</v>
      </c>
      <c r="I193" s="251">
        <f t="shared" si="48"/>
        <v>199.61106962534282</v>
      </c>
      <c r="J193" s="251">
        <f t="shared" si="48"/>
        <v>199.74683231453739</v>
      </c>
      <c r="K193" s="251">
        <f t="shared" si="48"/>
        <v>199.88531025751584</v>
      </c>
      <c r="L193" s="251">
        <f t="shared" si="48"/>
        <v>202.30326229504408</v>
      </c>
      <c r="M193" s="251">
        <f t="shared" si="48"/>
        <v>203.93230366448327</v>
      </c>
      <c r="N193" s="251">
        <f t="shared" si="48"/>
        <v>206.3673735017793</v>
      </c>
      <c r="O193" s="251">
        <f t="shared" si="48"/>
        <v>207.98004933074435</v>
      </c>
      <c r="P193" s="251">
        <f t="shared" si="48"/>
        <v>212.13965031735873</v>
      </c>
      <c r="Q193" s="251">
        <f t="shared" si="48"/>
        <v>216.38244332370621</v>
      </c>
    </row>
    <row r="194" spans="1:17" s="12" customFormat="1" ht="14.25" customHeight="1" x14ac:dyDescent="0.35">
      <c r="A194" s="12" t="s">
        <v>177</v>
      </c>
      <c r="B194" s="183" t="s">
        <v>189</v>
      </c>
      <c r="H194" s="251">
        <f t="shared" ref="H194:Q194" si="49">IFERROR(H104*1000/H71,"")</f>
        <v>102.72692468327998</v>
      </c>
      <c r="I194" s="251">
        <f t="shared" si="49"/>
        <v>109.77105666156201</v>
      </c>
      <c r="J194" s="251">
        <f t="shared" si="49"/>
        <v>116.8151886398441</v>
      </c>
      <c r="K194" s="251">
        <f t="shared" si="49"/>
        <v>123.85932061812613</v>
      </c>
      <c r="L194" s="251">
        <f t="shared" si="49"/>
        <v>130.90345259640821</v>
      </c>
      <c r="M194" s="251">
        <f t="shared" si="49"/>
        <v>137.94758457469024</v>
      </c>
      <c r="N194" s="251">
        <f t="shared" si="49"/>
        <v>144.99171655297229</v>
      </c>
      <c r="O194" s="251">
        <f t="shared" si="49"/>
        <v>152.03584853125435</v>
      </c>
      <c r="P194" s="251">
        <f t="shared" si="49"/>
        <v>158.49296951134625</v>
      </c>
      <c r="Q194" s="251">
        <f t="shared" si="49"/>
        <v>158.49296951134625</v>
      </c>
    </row>
    <row r="195" spans="1:17" s="12" customFormat="1" ht="14.25" customHeight="1" x14ac:dyDescent="0.35">
      <c r="A195" s="12" t="s">
        <v>238</v>
      </c>
      <c r="B195" s="183" t="s">
        <v>189</v>
      </c>
      <c r="H195" s="251">
        <f t="shared" ref="H195:Q195" ca="1" si="50">IFERROR(H109*1000/H71,"")</f>
        <v>21.195220200621655</v>
      </c>
      <c r="I195" s="251">
        <f t="shared" ca="1" si="50"/>
        <v>20.664838280346924</v>
      </c>
      <c r="J195" s="251">
        <f t="shared" ca="1" si="50"/>
        <v>20.123848721666715</v>
      </c>
      <c r="K195" s="251">
        <f t="shared" ca="1" si="50"/>
        <v>19.572039371812892</v>
      </c>
      <c r="L195" s="251">
        <f t="shared" ca="1" si="50"/>
        <v>-0.73493251198396159</v>
      </c>
      <c r="M195" s="251">
        <f t="shared" ca="1" si="50"/>
        <v>-0.38780964894945924</v>
      </c>
      <c r="N195" s="251">
        <f t="shared" ca="1" si="50"/>
        <v>3.0059053970354917E-2</v>
      </c>
      <c r="O195" s="251">
        <f t="shared" ca="1" si="50"/>
        <v>0.52136458122570428</v>
      </c>
      <c r="P195" s="251">
        <f t="shared" ca="1" si="50"/>
        <v>1.0888772583086557</v>
      </c>
      <c r="Q195" s="251">
        <f t="shared" ca="1" si="50"/>
        <v>-1.7176928144805217</v>
      </c>
    </row>
    <row r="196" spans="1:17" s="12" customFormat="1" ht="14.25" customHeight="1" x14ac:dyDescent="0.35">
      <c r="A196" s="12" t="s">
        <v>239</v>
      </c>
      <c r="B196" s="183" t="s">
        <v>189</v>
      </c>
      <c r="H196" s="251">
        <f t="shared" ref="H196:Q196" si="51">IFERROR(H111*1000/H71,"")</f>
        <v>0</v>
      </c>
      <c r="I196" s="251">
        <f t="shared" si="51"/>
        <v>0</v>
      </c>
      <c r="J196" s="251">
        <f t="shared" si="51"/>
        <v>0</v>
      </c>
      <c r="K196" s="251">
        <f t="shared" si="51"/>
        <v>0</v>
      </c>
      <c r="L196" s="251">
        <f t="shared" si="51"/>
        <v>0</v>
      </c>
      <c r="M196" s="251">
        <f t="shared" si="51"/>
        <v>0</v>
      </c>
      <c r="N196" s="251">
        <f t="shared" si="51"/>
        <v>0</v>
      </c>
      <c r="O196" s="251">
        <f t="shared" si="51"/>
        <v>0</v>
      </c>
      <c r="P196" s="251">
        <f t="shared" si="51"/>
        <v>0</v>
      </c>
      <c r="Q196" s="251">
        <f t="shared" si="51"/>
        <v>0</v>
      </c>
    </row>
    <row r="197" spans="1:17" s="12" customFormat="1" ht="14.25" customHeight="1" x14ac:dyDescent="0.35">
      <c r="A197" s="12" t="s">
        <v>240</v>
      </c>
      <c r="B197" s="183" t="s">
        <v>189</v>
      </c>
      <c r="H197" s="251">
        <f t="shared" ref="H197:Q197" si="52">H116</f>
        <v>0</v>
      </c>
      <c r="I197" s="251">
        <f t="shared" ca="1" si="52"/>
        <v>0</v>
      </c>
      <c r="J197" s="251">
        <f t="shared" ca="1" si="52"/>
        <v>0</v>
      </c>
      <c r="K197" s="251">
        <f t="shared" ca="1" si="52"/>
        <v>0</v>
      </c>
      <c r="L197" s="251">
        <f t="shared" ca="1" si="52"/>
        <v>0</v>
      </c>
      <c r="M197" s="251">
        <f t="shared" ca="1" si="52"/>
        <v>0</v>
      </c>
      <c r="N197" s="251">
        <f t="shared" ca="1" si="52"/>
        <v>0</v>
      </c>
      <c r="O197" s="251">
        <f t="shared" ca="1" si="52"/>
        <v>0</v>
      </c>
      <c r="P197" s="251">
        <f t="shared" ca="1" si="52"/>
        <v>0</v>
      </c>
      <c r="Q197" s="251">
        <f t="shared" ca="1" si="52"/>
        <v>0</v>
      </c>
    </row>
    <row r="198" spans="1:17" s="12" customFormat="1" ht="14.25" customHeight="1" x14ac:dyDescent="0.35">
      <c r="A198" s="12" t="s">
        <v>197</v>
      </c>
      <c r="B198" s="183" t="s">
        <v>189</v>
      </c>
      <c r="H198" s="251">
        <f t="shared" ref="H198:Q198" ca="1" si="53">IFERROR(H126/H199,"")</f>
        <v>76.599886166436519</v>
      </c>
      <c r="I198" s="251">
        <f t="shared" ca="1" si="53"/>
        <v>69.95303543274828</v>
      </c>
      <c r="J198" s="251">
        <f t="shared" ca="1" si="53"/>
        <v>63.314130323951815</v>
      </c>
      <c r="K198" s="251">
        <f t="shared" ca="1" si="53"/>
        <v>56.683329752545141</v>
      </c>
      <c r="L198" s="251">
        <f t="shared" ca="1" si="53"/>
        <v>67.528217620531706</v>
      </c>
      <c r="M198" s="251">
        <f t="shared" ca="1" si="53"/>
        <v>58.50792140977596</v>
      </c>
      <c r="N198" s="251">
        <f t="shared" ca="1" si="53"/>
        <v>48.610850891278105</v>
      </c>
      <c r="O198" s="251">
        <f t="shared" ca="1" si="53"/>
        <v>39.462737556775714</v>
      </c>
      <c r="P198" s="251">
        <f t="shared" ca="1" si="53"/>
        <v>28.278502912986454</v>
      </c>
      <c r="Q198" s="251">
        <f t="shared" ca="1" si="53"/>
        <v>26.842279979428099</v>
      </c>
    </row>
    <row r="199" spans="1:17" s="12" customFormat="1" ht="14.25" customHeight="1" x14ac:dyDescent="0.35">
      <c r="A199" s="12" t="s">
        <v>241</v>
      </c>
      <c r="B199" s="32"/>
      <c r="H199" s="218">
        <f t="shared" ref="H199:Q199" si="54">IFERROR(IF($B$7=1,($B$22*$B$23*H31*H71)/1000,($B$22*H24*H31*H71)/1000),"")</f>
        <v>2585.8799999999997</v>
      </c>
      <c r="I199" s="218">
        <f t="shared" si="54"/>
        <v>2585.8799999999997</v>
      </c>
      <c r="J199" s="218">
        <f t="shared" si="54"/>
        <v>2585.8799999999997</v>
      </c>
      <c r="K199" s="218">
        <f t="shared" si="54"/>
        <v>2585.8799999999997</v>
      </c>
      <c r="L199" s="218">
        <f t="shared" si="54"/>
        <v>2585.8799999999997</v>
      </c>
      <c r="M199" s="218">
        <f t="shared" si="54"/>
        <v>2585.8799999999997</v>
      </c>
      <c r="N199" s="218">
        <f t="shared" si="54"/>
        <v>2585.8799999999997</v>
      </c>
      <c r="O199" s="218">
        <f t="shared" si="54"/>
        <v>2585.8799999999997</v>
      </c>
      <c r="P199" s="218">
        <f t="shared" si="54"/>
        <v>2585.8799999999997</v>
      </c>
      <c r="Q199" s="218">
        <f t="shared" si="54"/>
        <v>2585.8799999999997</v>
      </c>
    </row>
    <row r="200" spans="1:17" s="12" customFormat="1" ht="14.25" customHeight="1" x14ac:dyDescent="0.25">
      <c r="B200" s="32"/>
    </row>
    <row r="201" spans="1:17" s="12" customFormat="1" ht="14.25" customHeight="1" x14ac:dyDescent="0.25">
      <c r="B201" s="32"/>
      <c r="H201" s="251"/>
      <c r="I201" s="251"/>
    </row>
    <row r="202" spans="1:17" s="12" customFormat="1" ht="14.25" customHeight="1" x14ac:dyDescent="0.25">
      <c r="B202" s="32"/>
    </row>
    <row r="203" spans="1:17" s="12" customFormat="1" ht="14.25" customHeight="1" x14ac:dyDescent="0.25">
      <c r="B203" s="32"/>
    </row>
    <row r="204" spans="1:17" s="12" customFormat="1" ht="14.25" customHeight="1" x14ac:dyDescent="0.25">
      <c r="B204" s="32"/>
    </row>
    <row r="205" spans="1:17" s="12" customFormat="1" ht="14.25" customHeight="1" x14ac:dyDescent="0.25">
      <c r="B205" s="32"/>
    </row>
    <row r="206" spans="1:17" s="12" customFormat="1" ht="14.25" customHeight="1" x14ac:dyDescent="0.25">
      <c r="B206" s="32"/>
    </row>
    <row r="207" spans="1:17" s="12" customFormat="1" ht="14.25" customHeight="1" x14ac:dyDescent="0.25">
      <c r="B207" s="32"/>
    </row>
    <row r="208" spans="1:17" s="12" customFormat="1" ht="14.25" customHeight="1" x14ac:dyDescent="0.25">
      <c r="B208" s="32"/>
    </row>
    <row r="209" spans="2:2" s="12" customFormat="1" ht="14.25" customHeight="1" x14ac:dyDescent="0.25">
      <c r="B209" s="32"/>
    </row>
    <row r="210" spans="2:2" s="12" customFormat="1" ht="14.25" customHeight="1" x14ac:dyDescent="0.25">
      <c r="B210" s="32"/>
    </row>
    <row r="211" spans="2:2" s="12" customFormat="1" ht="14.25" customHeight="1" x14ac:dyDescent="0.25">
      <c r="B211" s="32"/>
    </row>
    <row r="212" spans="2:2" s="12" customFormat="1" ht="14.25" customHeight="1" x14ac:dyDescent="0.25">
      <c r="B212" s="32"/>
    </row>
    <row r="213" spans="2:2" s="12" customFormat="1" ht="14.25" customHeight="1" x14ac:dyDescent="0.25">
      <c r="B213" s="32"/>
    </row>
    <row r="214" spans="2:2" s="12" customFormat="1" ht="14.25" customHeight="1" x14ac:dyDescent="0.25">
      <c r="B214" s="32"/>
    </row>
    <row r="215" spans="2:2" s="12" customFormat="1" ht="14.25" customHeight="1" x14ac:dyDescent="0.25">
      <c r="B215" s="32"/>
    </row>
    <row r="216" spans="2:2" s="12" customFormat="1" ht="14.25" customHeight="1" x14ac:dyDescent="0.25">
      <c r="B216" s="32"/>
    </row>
    <row r="217" spans="2:2" s="12" customFormat="1" ht="14.25" customHeight="1" x14ac:dyDescent="0.25">
      <c r="B217" s="32"/>
    </row>
    <row r="218" spans="2:2" s="12" customFormat="1" ht="14.25" customHeight="1" x14ac:dyDescent="0.25">
      <c r="B218" s="32"/>
    </row>
    <row r="219" spans="2:2" s="12" customFormat="1" ht="14.25" customHeight="1" x14ac:dyDescent="0.25">
      <c r="B219" s="32"/>
    </row>
    <row r="220" spans="2:2" s="12" customFormat="1" ht="14.25" customHeight="1" x14ac:dyDescent="0.25">
      <c r="B220" s="32"/>
    </row>
    <row r="221" spans="2:2" s="12" customFormat="1" ht="14.25" customHeight="1" x14ac:dyDescent="0.25">
      <c r="B221" s="32"/>
    </row>
    <row r="222" spans="2:2" s="12" customFormat="1" ht="14.25" customHeight="1" x14ac:dyDescent="0.25">
      <c r="B222" s="32"/>
    </row>
    <row r="223" spans="2:2" s="12" customFormat="1" ht="14.25" customHeight="1" x14ac:dyDescent="0.25">
      <c r="B223" s="32"/>
    </row>
    <row r="224" spans="2:2" s="12" customFormat="1" ht="14.25" customHeight="1" x14ac:dyDescent="0.25">
      <c r="B224" s="32"/>
    </row>
    <row r="225" spans="2:2" s="12" customFormat="1" ht="14.25" customHeight="1" x14ac:dyDescent="0.25">
      <c r="B225" s="32"/>
    </row>
    <row r="226" spans="2:2" s="12" customFormat="1" ht="14.25" customHeight="1" x14ac:dyDescent="0.25">
      <c r="B226" s="32"/>
    </row>
    <row r="227" spans="2:2" s="12" customFormat="1" ht="14.25" customHeight="1" x14ac:dyDescent="0.25">
      <c r="B227" s="32"/>
    </row>
    <row r="228" spans="2:2" s="12" customFormat="1" ht="14.25" customHeight="1" x14ac:dyDescent="0.25">
      <c r="B228" s="32"/>
    </row>
    <row r="229" spans="2:2" s="12" customFormat="1" ht="14.25" customHeight="1" x14ac:dyDescent="0.25">
      <c r="B229" s="32"/>
    </row>
    <row r="230" spans="2:2" s="12" customFormat="1" ht="14.25" customHeight="1" x14ac:dyDescent="0.25">
      <c r="B230" s="32"/>
    </row>
    <row r="231" spans="2:2" s="12" customFormat="1" ht="14.25" customHeight="1" x14ac:dyDescent="0.25">
      <c r="B231" s="32"/>
    </row>
    <row r="232" spans="2:2" s="12" customFormat="1" ht="14.25" customHeight="1" x14ac:dyDescent="0.25">
      <c r="B232" s="32"/>
    </row>
    <row r="233" spans="2:2" s="12" customFormat="1" ht="14.25" customHeight="1" x14ac:dyDescent="0.25">
      <c r="B233" s="32"/>
    </row>
    <row r="234" spans="2:2" s="12" customFormat="1" ht="14.25" customHeight="1" x14ac:dyDescent="0.25">
      <c r="B234" s="32"/>
    </row>
    <row r="235" spans="2:2" s="12" customFormat="1" ht="14.25" customHeight="1" x14ac:dyDescent="0.25">
      <c r="B235" s="32"/>
    </row>
    <row r="236" spans="2:2" s="12" customFormat="1" ht="14.25" customHeight="1" x14ac:dyDescent="0.25">
      <c r="B236" s="32"/>
    </row>
    <row r="237" spans="2:2" s="12" customFormat="1" ht="14.25" customHeight="1" x14ac:dyDescent="0.25">
      <c r="B237" s="32"/>
    </row>
    <row r="238" spans="2:2" s="12" customFormat="1" ht="14.25" customHeight="1" x14ac:dyDescent="0.25">
      <c r="B238" s="32"/>
    </row>
    <row r="239" spans="2:2" s="12" customFormat="1" ht="14.25" customHeight="1" x14ac:dyDescent="0.25">
      <c r="B239" s="32"/>
    </row>
    <row r="240" spans="2:2" s="12" customFormat="1" ht="14.25" customHeight="1" x14ac:dyDescent="0.25">
      <c r="B240" s="32"/>
    </row>
    <row r="241" spans="2:2" s="12" customFormat="1" ht="14.25" customHeight="1" x14ac:dyDescent="0.25">
      <c r="B241" s="32"/>
    </row>
    <row r="242" spans="2:2" s="12" customFormat="1" ht="14.25" customHeight="1" x14ac:dyDescent="0.25">
      <c r="B242" s="32"/>
    </row>
    <row r="243" spans="2:2" s="12" customFormat="1" ht="14.25" customHeight="1" x14ac:dyDescent="0.25">
      <c r="B243" s="32"/>
    </row>
    <row r="244" spans="2:2" s="12" customFormat="1" ht="14.25" customHeight="1" x14ac:dyDescent="0.25">
      <c r="B244" s="32"/>
    </row>
    <row r="245" spans="2:2" s="12" customFormat="1" ht="14.25" customHeight="1" x14ac:dyDescent="0.25">
      <c r="B245" s="32"/>
    </row>
    <row r="246" spans="2:2" s="12" customFormat="1" ht="14.25" customHeight="1" x14ac:dyDescent="0.25">
      <c r="B246" s="32"/>
    </row>
    <row r="247" spans="2:2" s="12" customFormat="1" ht="14.25" customHeight="1" x14ac:dyDescent="0.25">
      <c r="B247" s="32"/>
    </row>
    <row r="248" spans="2:2" s="12" customFormat="1" ht="14.25" customHeight="1" x14ac:dyDescent="0.25">
      <c r="B248" s="32"/>
    </row>
    <row r="249" spans="2:2" s="12" customFormat="1" ht="14.25" customHeight="1" x14ac:dyDescent="0.25">
      <c r="B249" s="32"/>
    </row>
    <row r="250" spans="2:2" s="12" customFormat="1" ht="14.25" customHeight="1" x14ac:dyDescent="0.25">
      <c r="B250" s="32"/>
    </row>
    <row r="251" spans="2:2" s="12" customFormat="1" ht="14.25" customHeight="1" x14ac:dyDescent="0.25">
      <c r="B251" s="32"/>
    </row>
    <row r="252" spans="2:2" s="12" customFormat="1" ht="14.25" customHeight="1" x14ac:dyDescent="0.25">
      <c r="B252" s="32"/>
    </row>
    <row r="253" spans="2:2" s="12" customFormat="1" ht="14.25" customHeight="1" x14ac:dyDescent="0.25">
      <c r="B253" s="32"/>
    </row>
    <row r="254" spans="2:2" s="12" customFormat="1" ht="14.25" customHeight="1" x14ac:dyDescent="0.25">
      <c r="B254" s="32"/>
    </row>
    <row r="255" spans="2:2" s="12" customFormat="1" ht="14.25" customHeight="1" x14ac:dyDescent="0.25">
      <c r="B255" s="32"/>
    </row>
    <row r="256" spans="2:2" s="12" customFormat="1" ht="14.25" customHeight="1" x14ac:dyDescent="0.25">
      <c r="B256" s="32"/>
    </row>
    <row r="257" spans="2:2" s="12" customFormat="1" ht="14.25" customHeight="1" x14ac:dyDescent="0.25">
      <c r="B257" s="32"/>
    </row>
    <row r="258" spans="2:2" s="12" customFormat="1" ht="14.25" customHeight="1" x14ac:dyDescent="0.25">
      <c r="B258" s="32"/>
    </row>
    <row r="259" spans="2:2" s="12" customFormat="1" ht="14.25" customHeight="1" x14ac:dyDescent="0.25">
      <c r="B259" s="32"/>
    </row>
    <row r="260" spans="2:2" s="12" customFormat="1" ht="14.25" customHeight="1" x14ac:dyDescent="0.25">
      <c r="B260" s="32"/>
    </row>
    <row r="261" spans="2:2" s="12" customFormat="1" ht="14.25" customHeight="1" x14ac:dyDescent="0.25">
      <c r="B261" s="32"/>
    </row>
    <row r="262" spans="2:2" s="12" customFormat="1" ht="14.25" customHeight="1" x14ac:dyDescent="0.25">
      <c r="B262" s="32"/>
    </row>
    <row r="263" spans="2:2" s="12" customFormat="1" ht="14.25" customHeight="1" x14ac:dyDescent="0.25">
      <c r="B263" s="32"/>
    </row>
    <row r="264" spans="2:2" s="12" customFormat="1" ht="14.25" customHeight="1" x14ac:dyDescent="0.25">
      <c r="B264" s="32"/>
    </row>
    <row r="265" spans="2:2" s="12" customFormat="1" ht="14.25" customHeight="1" x14ac:dyDescent="0.25">
      <c r="B265" s="32"/>
    </row>
    <row r="266" spans="2:2" s="12" customFormat="1" ht="14.25" customHeight="1" x14ac:dyDescent="0.25">
      <c r="B266" s="32"/>
    </row>
    <row r="267" spans="2:2" s="12" customFormat="1" ht="14.25" customHeight="1" x14ac:dyDescent="0.25">
      <c r="B267" s="32"/>
    </row>
    <row r="268" spans="2:2" s="12" customFormat="1" ht="14.25" customHeight="1" x14ac:dyDescent="0.25">
      <c r="B268" s="32"/>
    </row>
    <row r="269" spans="2:2" s="12" customFormat="1" ht="14.25" customHeight="1" x14ac:dyDescent="0.25">
      <c r="B269" s="32"/>
    </row>
    <row r="270" spans="2:2" s="12" customFormat="1" ht="14.25" customHeight="1" x14ac:dyDescent="0.25">
      <c r="B270" s="32"/>
    </row>
    <row r="271" spans="2:2" s="12" customFormat="1" ht="14.25" customHeight="1" x14ac:dyDescent="0.25">
      <c r="B271" s="32"/>
    </row>
    <row r="272" spans="2:2" s="12" customFormat="1" ht="14.25" customHeight="1" x14ac:dyDescent="0.25">
      <c r="B272" s="32"/>
    </row>
    <row r="273" spans="2:2" s="12" customFormat="1" ht="14.25" customHeight="1" x14ac:dyDescent="0.25">
      <c r="B273" s="32"/>
    </row>
    <row r="274" spans="2:2" s="12" customFormat="1" ht="14.25" customHeight="1" x14ac:dyDescent="0.25">
      <c r="B274" s="32"/>
    </row>
  </sheetData>
  <sheetProtection algorithmName="SHA-512" hashValue="OTwKYJYwOgkTtg2jfrsjIW50bOpUu3Lf+f8OymZIb8XRy3BvsPKxdEqgOljuDEP0RKJCS2lZxfNIckf0NHedUA==" saltValue="HnCspYOI5SMdRCt5SAWsPw==" spinCount="100000" sheet="1" objects="1" scenarios="1"/>
  <mergeCells count="7">
    <mergeCell ref="A137:Q137"/>
    <mergeCell ref="B6:C6"/>
    <mergeCell ref="B14:N14"/>
    <mergeCell ref="A17:Q17"/>
    <mergeCell ref="H19:Q19"/>
    <mergeCell ref="A87:A88"/>
    <mergeCell ref="A94:Q94"/>
  </mergeCells>
  <phoneticPr fontId="4" type="noConversion"/>
  <conditionalFormatting sqref="B23">
    <cfRule type="expression" dxfId="14" priority="1">
      <formula>$B$7&lt;&gt;1</formula>
    </cfRule>
  </conditionalFormatting>
  <conditionalFormatting sqref="B24">
    <cfRule type="expression" dxfId="13" priority="3">
      <formula>$B$7=1</formula>
    </cfRule>
  </conditionalFormatting>
  <conditionalFormatting sqref="H24:Q24">
    <cfRule type="expression" dxfId="12" priority="2" stopIfTrue="1">
      <formula>$B$7=1</formula>
    </cfRule>
    <cfRule type="expression" dxfId="11" priority="12">
      <formula>H24=$B$24</formula>
    </cfRule>
  </conditionalFormatting>
  <conditionalFormatting sqref="H29:Q29">
    <cfRule type="expression" dxfId="10" priority="13">
      <formula>H29=$B$30</formula>
    </cfRule>
  </conditionalFormatting>
  <conditionalFormatting sqref="H41:Q41">
    <cfRule type="expression" dxfId="7" priority="15">
      <formula>ABS(H41)=ABS(0.04*SUM($D$35:$G$35))</formula>
    </cfRule>
  </conditionalFormatting>
  <conditionalFormatting sqref="H82:Q82">
    <cfRule type="expression" dxfId="1" priority="5">
      <formula>H82=$B$82</formula>
    </cfRule>
  </conditionalFormatting>
  <dataValidations count="8">
    <dataValidation allowBlank="1" showInputMessage="1" showErrorMessage="1" promptTitle="Compensatie indirecte emissies" prompt="Geef hier enkel het gedeelte van de steun in dat in verhouding staat tot het elektrisch verbruik van de investering waarvoor TRACKS-steun wordt aangevraagd. Dit is enkel voor fallback-subinstallaties en installaties met uitwisselbaarheid van brandstoffen." sqref="H62:Q62" xr:uid="{09C6E39E-CAC4-4943-851F-25AAE7D770A9}"/>
    <dataValidation errorStyle="warning" allowBlank="1" showInputMessage="1" showErrorMessage="1" sqref="B25" xr:uid="{372C8CA3-97B4-44DC-8687-028EBE2CB5B0}"/>
    <dataValidation type="list" allowBlank="1" showInputMessage="1" showErrorMessage="1" sqref="A130" xr:uid="{4A2E7967-0788-454C-B02A-BA0443CBFE80}">
      <formula1>INDIRECT("tech_param[Technologie]")</formula1>
    </dataValidation>
    <dataValidation allowBlank="1" showErrorMessage="1" sqref="B7" xr:uid="{90C48494-800F-4824-A80E-DD5F01D2A6D3}"/>
    <dataValidation type="custom" allowBlank="1" showInputMessage="1" showErrorMessage="1" errorTitle="COP enkel voor WP en MVR" error=" COP waarde is enkel voor warmtepomp en MVR van toepassing." sqref="B24" xr:uid="{36232B72-C37B-40E5-8C6A-CEB03B9A3381}">
      <formula1>IF($B$6="E-boiler", FALSE, TRUE)</formula1>
    </dataValidation>
    <dataValidation allowBlank="1" showInputMessage="1" showErrorMessage="1" promptTitle="Bepaling jaarlijkse COP" prompt="Voor de berekening van de jaarlijkse steun en de clawback wordt de COP jaarlijks bepaald op basis van het elektrisch verbruik en de geproduceerde warmte." sqref="I24:Q24" xr:uid="{71C84879-9F76-4CD5-8755-E940765FF74B}"/>
    <dataValidation type="custom" allowBlank="1" showInputMessage="1" showErrorMessage="1" errorTitle="COP enkel voor WP en MVR" error=" COP waarde is enkel voor warmtepomp en MVR van toepassing." promptTitle="COP bij aanvraag" prompt="De COP bij aanvraag is enkel relevant voor de hoogte van de maximale vastgelegde steun. In dit rekenblad wordt de jaarlijkse COP vooraf ingevuld op basis van deze waarde, maar bij de effectieve berekening van de steun wordt de COP jaarlijks bepaald." sqref="B24" xr:uid="{FEF42DFE-63D1-4FCB-8BCD-889FD536F050}">
      <formula1>IF($B$6="E-boiler", FALSE, TRUE)</formula1>
    </dataValidation>
    <dataValidation allowBlank="1" showInputMessage="1" showErrorMessage="1" promptTitle="Bepaling jaarlijkse COP" prompt="Voor de berekening van de jaarlijkse steun en het terugvorderingsmechanisme op het einde wordt de COP jaarlijks bepaald op basis van het elektrisch verbruik en de geproduceerde warmte." sqref="H24" xr:uid="{3C84753A-145E-4818-B6EA-F6F10DF3DAF9}"/>
  </dataValidations>
  <pageMargins left="0.7" right="0.7" top="0.75" bottom="0.75" header="0.3" footer="0.3"/>
  <pageSetup paperSize="9" orientation="portrait"/>
  <ignoredErrors>
    <ignoredError sqref="H44:Q45 H51:Q52 H82:Q82 H24:Q24 H38:Q38 H57:Q58 H29:Q29 H41:Q41"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4" id="{934469C9-1641-45D0-8B78-8E7774A77F7D}">
            <xm:f>H37='dropdown lists'!$B$4</xm:f>
            <x14:dxf>
              <font>
                <b val="0"/>
                <i/>
                <strike val="0"/>
              </font>
              <fill>
                <patternFill patternType="lightUp">
                  <fgColor theme="0" tint="-0.34998626667073579"/>
                </patternFill>
              </fill>
              <border>
                <left/>
                <right/>
                <top/>
                <bottom/>
                <vertical/>
                <horizontal/>
              </border>
            </x14:dxf>
          </x14:cfRule>
          <xm:sqref>H37:Q37</xm:sqref>
        </x14:conditionalFormatting>
        <x14:conditionalFormatting xmlns:xm="http://schemas.microsoft.com/office/excel/2006/main">
          <x14:cfRule type="expression" priority="11" id="{F86BCE7E-FF8D-4913-B3C9-049B99DFCEBC}">
            <xm:f>H38=VLOOKUP("Netkosten "&amp;H$37,'Technologie parameters'!$A$26:$L$35,COLUMN('Technologie parameters'!C25),FALSE)</xm:f>
            <x14:dxf>
              <font>
                <b val="0"/>
                <i/>
                <strike val="0"/>
              </font>
              <fill>
                <patternFill patternType="lightUp">
                  <fgColor theme="0" tint="-0.34998626667073579"/>
                </patternFill>
              </fill>
            </x14:dxf>
          </x14:cfRule>
          <xm:sqref>H38:Q38</xm:sqref>
        </x14:conditionalFormatting>
        <x14:conditionalFormatting xmlns:xm="http://schemas.microsoft.com/office/excel/2006/main">
          <x14:cfRule type="expression" priority="10" id="{763D5980-BF89-4573-9B60-E3D323DDA351}">
            <xm:f>H44=IF($B$7=1,'Technologie parameters'!C31,'Technologie parameters'!C30)</xm:f>
            <x14:dxf>
              <font>
                <b val="0"/>
                <i/>
                <strike val="0"/>
              </font>
              <fill>
                <patternFill patternType="lightUp">
                  <fgColor theme="0" tint="-0.34998626667073579"/>
                </patternFill>
              </fill>
              <border>
                <left/>
                <right/>
                <top/>
                <bottom/>
                <vertical/>
                <horizontal/>
              </border>
            </x14:dxf>
          </x14:cfRule>
          <xm:sqref>H44:Q44</xm:sqref>
        </x14:conditionalFormatting>
        <x14:conditionalFormatting xmlns:xm="http://schemas.microsoft.com/office/excel/2006/main">
          <x14:cfRule type="expression" priority="9" id="{6717D4B0-DA6A-44AE-A820-B39868C86749}">
            <xm:f>H45='Technologie parameters'!C35</xm:f>
            <x14:dxf>
              <font>
                <b val="0"/>
                <i/>
                <strike val="0"/>
              </font>
              <fill>
                <patternFill patternType="lightUp">
                  <fgColor theme="0" tint="-0.34998626667073579"/>
                </patternFill>
              </fill>
              <border>
                <left/>
                <right/>
                <top/>
                <bottom/>
                <vertical/>
                <horizontal/>
              </border>
            </x14:dxf>
          </x14:cfRule>
          <xm:sqref>H45:Q45</xm:sqref>
        </x14:conditionalFormatting>
        <x14:conditionalFormatting xmlns:xm="http://schemas.microsoft.com/office/excel/2006/main">
          <x14:cfRule type="expression" priority="8" id="{E9501A32-ACC0-4F29-9CE8-EC6C56DBC484}">
            <xm:f>H51='Technologie parameters'!C26</xm:f>
            <x14:dxf>
              <font>
                <b val="0"/>
                <i/>
                <strike val="0"/>
              </font>
              <fill>
                <patternFill patternType="lightUp">
                  <fgColor theme="0" tint="-0.34998626667073579"/>
                </patternFill>
              </fill>
              <border>
                <left/>
                <right/>
                <top/>
                <bottom/>
                <vertical/>
                <horizontal/>
              </border>
            </x14:dxf>
          </x14:cfRule>
          <xm:sqref>H51:Q52</xm:sqref>
        </x14:conditionalFormatting>
        <x14:conditionalFormatting xmlns:xm="http://schemas.microsoft.com/office/excel/2006/main">
          <x14:cfRule type="expression" priority="7" id="{A3FE370A-A184-4505-BF16-072F48C5083C}">
            <xm:f>H56='dropdown lists'!$C$3</xm:f>
            <x14:dxf>
              <font>
                <b val="0"/>
                <i/>
                <strike val="0"/>
              </font>
              <fill>
                <patternFill patternType="lightUp">
                  <fgColor theme="0" tint="-0.34998626667073579"/>
                </patternFill>
              </fill>
              <border>
                <left/>
                <right/>
                <top/>
                <bottom/>
                <vertical/>
                <horizontal/>
              </border>
            </x14:dxf>
          </x14:cfRule>
          <xm:sqref>H56:Q56</xm:sqref>
        </x14:conditionalFormatting>
        <x14:conditionalFormatting xmlns:xm="http://schemas.microsoft.com/office/excel/2006/main">
          <x14:cfRule type="expression" priority="6" id="{D257B55E-34BF-466A-856E-7B6378DB864A}">
            <xm:f>H57='Technologie parameters'!C28</xm:f>
            <x14:dxf>
              <font>
                <b val="0"/>
                <i/>
                <strike val="0"/>
              </font>
              <fill>
                <patternFill patternType="lightUp">
                  <fgColor theme="0" tint="-0.34998626667073579"/>
                </patternFill>
              </fill>
              <border>
                <left/>
                <right/>
                <top/>
                <bottom/>
                <vertical/>
                <horizontal/>
              </border>
            </x14:dxf>
          </x14:cfRule>
          <xm:sqref>H57:Q58</xm:sqref>
        </x14:conditionalFormatting>
        <x14:conditionalFormatting xmlns:xm="http://schemas.microsoft.com/office/excel/2006/main">
          <x14:cfRule type="expression" priority="4" id="{17127000-7C21-4563-8D73-BB4BEEBD4C20}">
            <xm:f>H84='Technologie parameters'!C36</xm:f>
            <x14:dxf>
              <font>
                <b val="0"/>
                <i/>
                <strike val="0"/>
              </font>
              <fill>
                <patternFill patternType="lightUp">
                  <fgColor theme="0" tint="-0.34998626667073579"/>
                </patternFill>
              </fill>
              <border>
                <left/>
                <right/>
                <top/>
                <bottom/>
                <vertical/>
                <horizontal/>
              </border>
            </x14:dxf>
          </x14:cfRule>
          <xm:sqref>H84:Q84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A486446E-D324-49A6-8469-E61447CA76F3}">
          <x14:formula1>
            <xm:f>'dropdown lists'!$A$3:$A$10</xm:f>
          </x14:formula1>
          <xm:sqref>B6:C6</xm:sqref>
        </x14:dataValidation>
        <x14:dataValidation type="list" allowBlank="1" showInputMessage="1" showErrorMessage="1" xr:uid="{4598CA48-E4BC-4FC5-A7AC-75EFE251131F}">
          <x14:formula1>
            <xm:f>'dropdown lists'!$C$3:$C$5</xm:f>
          </x14:formula1>
          <xm:sqref>H56:Q56</xm:sqref>
        </x14:dataValidation>
        <x14:dataValidation type="list" allowBlank="1" showInputMessage="1" showErrorMessage="1" xr:uid="{FF6D6A6B-C4C7-409D-84E7-F6D9DD5B6F61}">
          <x14:formula1>
            <xm:f>'dropdown lists'!$B$3:$B$5</xm:f>
          </x14:formula1>
          <xm:sqref>H37:Q37</xm:sqref>
        </x14:dataValidation>
        <x14:dataValidation type="list" allowBlank="1" showInputMessage="1" showErrorMessage="1" xr:uid="{7CB4403F-E020-41CD-9CA4-6A429A20733F}">
          <x14:formula1>
            <xm:f>'dropdown lists'!#REF!</xm:f>
          </x14:formula1>
          <xm:sqref>B55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C5793-D0F9-4766-90D2-AACEF29CAEA8}">
  <sheetPr>
    <tabColor theme="0" tint="-0.499984740745262"/>
  </sheetPr>
  <dimension ref="A2:C10"/>
  <sheetViews>
    <sheetView workbookViewId="0">
      <selection activeCell="A4" sqref="A4"/>
    </sheetView>
  </sheetViews>
  <sheetFormatPr defaultColWidth="8.85546875" defaultRowHeight="15" x14ac:dyDescent="0.25"/>
  <cols>
    <col min="1" max="1" width="34.85546875" style="83" customWidth="1"/>
    <col min="2" max="2" width="24.85546875" style="83" bestFit="1" customWidth="1"/>
    <col min="3" max="3" width="35" style="83" bestFit="1" customWidth="1"/>
    <col min="4" max="16384" width="8.85546875" style="83"/>
  </cols>
  <sheetData>
    <row r="2" spans="1:3" ht="15.75" x14ac:dyDescent="0.25">
      <c r="A2" s="82" t="s">
        <v>56</v>
      </c>
      <c r="B2" s="82" t="s">
        <v>133</v>
      </c>
      <c r="C2" s="70" t="s">
        <v>151</v>
      </c>
    </row>
    <row r="3" spans="1:3" x14ac:dyDescent="0.25">
      <c r="A3" s="82"/>
      <c r="B3" s="83" t="s">
        <v>244</v>
      </c>
      <c r="C3" s="83" t="s">
        <v>152</v>
      </c>
    </row>
    <row r="4" spans="1:3" x14ac:dyDescent="0.25">
      <c r="A4" s="85" t="s">
        <v>242</v>
      </c>
      <c r="B4" s="83" t="s">
        <v>134</v>
      </c>
      <c r="C4" s="83" t="s">
        <v>245</v>
      </c>
    </row>
    <row r="5" spans="1:3" x14ac:dyDescent="0.25">
      <c r="A5" s="86" t="s">
        <v>246</v>
      </c>
      <c r="B5" s="83" t="s">
        <v>247</v>
      </c>
      <c r="C5" s="83" t="s">
        <v>248</v>
      </c>
    </row>
    <row r="6" spans="1:3" x14ac:dyDescent="0.25">
      <c r="A6" s="86" t="s">
        <v>249</v>
      </c>
    </row>
    <row r="7" spans="1:3" x14ac:dyDescent="0.25">
      <c r="A7" s="86" t="s">
        <v>250</v>
      </c>
    </row>
    <row r="8" spans="1:3" x14ac:dyDescent="0.25">
      <c r="A8" s="86" t="s">
        <v>251</v>
      </c>
    </row>
    <row r="9" spans="1:3" x14ac:dyDescent="0.25">
      <c r="A9" s="86" t="s">
        <v>252</v>
      </c>
    </row>
    <row r="10" spans="1:3" x14ac:dyDescent="0.25">
      <c r="A10" s="86" t="s">
        <v>243</v>
      </c>
    </row>
  </sheetData>
  <sheetProtection algorithmName="SHA-512" hashValue="p7FQEa6hVq1TmnaEfR8kRutEMwKBw8xRo3okCjNs/dsH+fabGzyzMJEdO0L1fs/2zOx7gfdHaZBrhULMweQnIg==" saltValue="OCDfiw5ehMxMyVmwzr67t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D2B973BB8BB1488B74033A32DC78B7" ma:contentTypeVersion="4" ma:contentTypeDescription="Een nieuw document maken." ma:contentTypeScope="" ma:versionID="1d37b50b35ea2778468b9473aa1c8263">
  <xsd:schema xmlns:xsd="http://www.w3.org/2001/XMLSchema" xmlns:xs="http://www.w3.org/2001/XMLSchema" xmlns:p="http://schemas.microsoft.com/office/2006/metadata/properties" xmlns:ns2="145c36f9-e567-4c4c-9bf7-530968afc252" targetNamespace="http://schemas.microsoft.com/office/2006/metadata/properties" ma:root="true" ma:fieldsID="3b81d11d035f187048dd0b1340da89e4" ns2:_="">
    <xsd:import namespace="145c36f9-e567-4c4c-9bf7-530968afc2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c36f9-e567-4c4c-9bf7-530968afc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CA5247-0588-4CA9-9E53-D96F54B715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c36f9-e567-4c4c-9bf7-530968afc2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C84C71-D79B-4D4C-AB78-5BC0EA4C0B01}">
  <ds:schemaRefs>
    <ds:schemaRef ds:uri="http://schemas.microsoft.com/office/infopath/2007/PartnerControls"/>
    <ds:schemaRef ds:uri="http://purl.org/dc/terms/"/>
    <ds:schemaRef ds:uri="http://purl.org/dc/elements/1.1/"/>
    <ds:schemaRef ds:uri="http://schemas.microsoft.com/office/2006/metadata/properties"/>
    <ds:schemaRef ds:uri="145c36f9-e567-4c4c-9bf7-530968afc252"/>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82C14839-EFB4-471D-B90E-4F01AAA7E8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vt:lpstr>
      <vt:lpstr>Algemene parameters</vt:lpstr>
      <vt:lpstr>Technologie parameters</vt:lpstr>
      <vt:lpstr>Steunberekening</vt:lpstr>
      <vt:lpstr>voorbeeld e-boiler</vt:lpstr>
      <vt:lpstr>voorbeeld MVR</vt:lpstr>
      <vt:lpstr>dropdown lists</vt:lpstr>
    </vt:vector>
  </TitlesOfParts>
  <Manager/>
  <Company>VITO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Miet Van Dael</dc:creator>
  <cp:keywords/>
  <dc:description/>
  <cp:lastModifiedBy>Laenen Korinne</cp:lastModifiedBy>
  <cp:revision/>
  <dcterms:created xsi:type="dcterms:W3CDTF">2024-06-28T06:20:10Z</dcterms:created>
  <dcterms:modified xsi:type="dcterms:W3CDTF">2025-02-10T10:06:46Z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0x01010015D2B973BB8BB1488B74033A32DC78B7</vt:lpwstr>
  </property>
</Properties>
</file>