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V:\EFRO\Vlaanderen_2021-2027\Algemeen\Procedureel-financieel\Documenten definitief\"/>
    </mc:Choice>
  </mc:AlternateContent>
  <xr:revisionPtr revIDLastSave="0" documentId="13_ncr:1_{DCA54438-2F26-4272-9D19-EF35E41C7705}" xr6:coauthVersionLast="47" xr6:coauthVersionMax="47" xr10:uidLastSave="{00000000-0000-0000-0000-000000000000}"/>
  <bookViews>
    <workbookView xWindow="-120" yWindow="-120" windowWidth="29040" windowHeight="17640" tabRatio="641" activeTab="1" xr2:uid="{00000000-000D-0000-FFFF-FFFF00000000}"/>
  </bookViews>
  <sheets>
    <sheet name="Info" sheetId="9" r:id="rId1"/>
    <sheet name="Funding Gap" sheetId="8" r:id="rId2"/>
    <sheet name="Investeringen" sheetId="1" r:id="rId3"/>
    <sheet name="Inkomsten" sheetId="6" r:id="rId4"/>
    <sheet name="Exploitatiekosten" sheetId="4" r:id="rId5"/>
    <sheet name="Restwaarde" sheetId="2" r:id="rId6"/>
    <sheet name="Toelichting" sheetId="5" r:id="rId7"/>
  </sheets>
  <definedNames>
    <definedName name="_xlnm.Print_Area" localSheetId="4">Exploitatiekosten!$A$1:$R$49</definedName>
    <definedName name="_xlnm.Print_Area" localSheetId="3">Inkomsten!$A$1:$Q$22</definedName>
    <definedName name="_xlnm.Print_Area" localSheetId="2">Investeringen!$A$1:$R$41</definedName>
    <definedName name="_xlnm.Print_Area" localSheetId="6">Toelichting!$A$1:$D$27</definedName>
    <definedName name="_xlnm.Print_Titles" localSheetId="3">Inkomsten!$A:$A,Inkomsten!$2:$2</definedName>
    <definedName name="_xlnm.Print_Titles" localSheetId="2">Investeringen!$A:$A,Investeringen!$2:$2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6" l="1"/>
  <c r="F15" i="6"/>
  <c r="F14" i="6"/>
  <c r="H6" i="4"/>
  <c r="I6" i="4"/>
  <c r="J6" i="4"/>
  <c r="K6" i="4"/>
  <c r="L6" i="4"/>
  <c r="M6" i="4"/>
  <c r="N6" i="4"/>
  <c r="O6" i="4"/>
  <c r="P6" i="4"/>
  <c r="Q6" i="4"/>
  <c r="G6" i="4"/>
  <c r="F10" i="4"/>
  <c r="F11" i="4"/>
  <c r="F19" i="4"/>
  <c r="F33" i="4"/>
  <c r="B33" i="4"/>
  <c r="B19" i="4" s="1"/>
  <c r="B10" i="4" s="1"/>
  <c r="B11" i="4"/>
  <c r="H7" i="6"/>
  <c r="I7" i="6"/>
  <c r="J7" i="6"/>
  <c r="K7" i="6"/>
  <c r="L7" i="6"/>
  <c r="M7" i="6"/>
  <c r="N7" i="6"/>
  <c r="O7" i="6"/>
  <c r="P7" i="6"/>
  <c r="Q7" i="6"/>
  <c r="G7" i="6"/>
  <c r="L12" i="6"/>
  <c r="L20" i="6"/>
  <c r="L16" i="6"/>
  <c r="L17" i="6"/>
  <c r="L15" i="6"/>
  <c r="F18" i="6"/>
  <c r="F19" i="6"/>
  <c r="F17" i="6"/>
  <c r="D15" i="6"/>
  <c r="D14" i="6"/>
  <c r="D21" i="6"/>
  <c r="C29" i="1"/>
  <c r="C27" i="1"/>
  <c r="C26" i="1"/>
  <c r="F26" i="1" s="1"/>
  <c r="L4" i="4" l="1"/>
  <c r="M4" i="4"/>
  <c r="N4" i="4"/>
  <c r="O4" i="4"/>
  <c r="H4" i="4"/>
  <c r="P4" i="4"/>
  <c r="I4" i="4"/>
  <c r="Q4" i="4"/>
  <c r="J4" i="4"/>
  <c r="G4" i="4"/>
  <c r="K4" i="4"/>
  <c r="F12" i="6"/>
  <c r="G5" i="6" s="1"/>
  <c r="H5" i="6" s="1"/>
  <c r="I5" i="6" s="1"/>
  <c r="J5" i="6" s="1"/>
  <c r="K5" i="6" s="1"/>
  <c r="L5" i="6" s="1"/>
  <c r="M5" i="6" s="1"/>
  <c r="N5" i="6" s="1"/>
  <c r="O5" i="6" s="1"/>
  <c r="P5" i="6" s="1"/>
  <c r="Q5" i="6" s="1"/>
  <c r="C19" i="1"/>
  <c r="C6" i="1"/>
  <c r="H12" i="1" l="1"/>
  <c r="I12" i="1" s="1"/>
  <c r="J12" i="1" s="1"/>
  <c r="K12" i="1" s="1"/>
  <c r="L12" i="1" s="1"/>
  <c r="M12" i="1" s="1"/>
  <c r="N12" i="1" s="1"/>
  <c r="O12" i="1" s="1"/>
  <c r="P12" i="1" s="1"/>
  <c r="Q12" i="1" s="1"/>
  <c r="R12" i="1" s="1"/>
  <c r="C10" i="1"/>
  <c r="H30" i="1"/>
  <c r="H37" i="1" s="1"/>
  <c r="G7" i="4"/>
  <c r="C14" i="1"/>
  <c r="F14" i="1" s="1"/>
  <c r="D7" i="4"/>
  <c r="E7" i="4"/>
  <c r="F7" i="4"/>
  <c r="C7" i="4"/>
  <c r="F8" i="6"/>
  <c r="F37" i="1"/>
  <c r="G37" i="1"/>
  <c r="E37" i="1"/>
  <c r="C28" i="1"/>
  <c r="G28" i="1" s="1"/>
  <c r="C35" i="1"/>
  <c r="G35" i="1" s="1"/>
  <c r="C34" i="1"/>
  <c r="F34" i="1" s="1"/>
  <c r="C32" i="1"/>
  <c r="C11" i="1"/>
  <c r="F29" i="1"/>
  <c r="F27" i="1"/>
  <c r="D23" i="1"/>
  <c r="D24" i="1"/>
  <c r="F10" i="1"/>
  <c r="C17" i="1"/>
  <c r="C16" i="1"/>
  <c r="C15" i="1"/>
  <c r="C9" i="1"/>
  <c r="F9" i="1" s="1"/>
  <c r="D6" i="1"/>
  <c r="A4" i="2"/>
  <c r="E14" i="1" l="1"/>
  <c r="G10" i="1"/>
  <c r="I30" i="1"/>
  <c r="J30" i="1" s="1"/>
  <c r="K30" i="1" s="1"/>
  <c r="L30" i="1" s="1"/>
  <c r="M30" i="1" s="1"/>
  <c r="N30" i="1" s="1"/>
  <c r="O30" i="1" s="1"/>
  <c r="P30" i="1" s="1"/>
  <c r="Q30" i="1" s="1"/>
  <c r="R30" i="1" s="1"/>
  <c r="R37" i="1" s="1"/>
  <c r="H19" i="1"/>
  <c r="H4" i="1" s="1"/>
  <c r="L37" i="1"/>
  <c r="L21" i="1" s="1"/>
  <c r="K37" i="1"/>
  <c r="N37" i="1"/>
  <c r="J37" i="1"/>
  <c r="J21" i="1" s="1"/>
  <c r="M37" i="1"/>
  <c r="I37" i="1"/>
  <c r="I21" i="1" s="1"/>
  <c r="P19" i="1"/>
  <c r="P4" i="1" s="1"/>
  <c r="O19" i="1"/>
  <c r="O4" i="1" s="1"/>
  <c r="K19" i="1"/>
  <c r="R19" i="1"/>
  <c r="R4" i="1" s="1"/>
  <c r="N19" i="1"/>
  <c r="N4" i="1" s="1"/>
  <c r="J19" i="1"/>
  <c r="J4" i="1" s="1"/>
  <c r="Q19" i="1"/>
  <c r="M19" i="1"/>
  <c r="M4" i="1" s="1"/>
  <c r="I19" i="1"/>
  <c r="I4" i="1" s="1"/>
  <c r="H21" i="1"/>
  <c r="M21" i="1"/>
  <c r="K21" i="1"/>
  <c r="N21" i="1"/>
  <c r="Q4" i="1"/>
  <c r="K4" i="1"/>
  <c r="G34" i="1"/>
  <c r="E34" i="1"/>
  <c r="F17" i="1"/>
  <c r="G19" i="1"/>
  <c r="D21" i="1"/>
  <c r="D38" i="1" s="1"/>
  <c r="F11" i="1"/>
  <c r="G11" i="1" s="1"/>
  <c r="G14" i="1"/>
  <c r="E16" i="1"/>
  <c r="G15" i="1"/>
  <c r="F19" i="1"/>
  <c r="E32" i="1"/>
  <c r="E17" i="1"/>
  <c r="G16" i="1"/>
  <c r="F15" i="1"/>
  <c r="F32" i="1"/>
  <c r="E15" i="1"/>
  <c r="G17" i="1"/>
  <c r="F16" i="1"/>
  <c r="E19" i="1"/>
  <c r="D7" i="1"/>
  <c r="D4" i="1" s="1"/>
  <c r="C4" i="2"/>
  <c r="C5" i="2"/>
  <c r="C6" i="2"/>
  <c r="C7" i="2"/>
  <c r="C8" i="2"/>
  <c r="H38" i="1" l="1"/>
  <c r="Q37" i="1"/>
  <c r="Q21" i="1" s="1"/>
  <c r="O37" i="1"/>
  <c r="O21" i="1" s="1"/>
  <c r="O38" i="1" s="1"/>
  <c r="R21" i="1"/>
  <c r="R38" i="1" s="1"/>
  <c r="D4" i="2" s="1"/>
  <c r="D5" i="2" s="1"/>
  <c r="D6" i="2" s="1"/>
  <c r="D7" i="2" s="1"/>
  <c r="D8" i="2" s="1"/>
  <c r="D9" i="2" s="1"/>
  <c r="D10" i="2" s="1"/>
  <c r="D11" i="2" s="1"/>
  <c r="D12" i="2" s="1"/>
  <c r="D13" i="2" s="1"/>
  <c r="D14" i="2" s="1"/>
  <c r="D15" i="2" s="1"/>
  <c r="D16" i="2" s="1"/>
  <c r="D17" i="2" s="1"/>
  <c r="D18" i="2" s="1"/>
  <c r="D19" i="2" s="1"/>
  <c r="D20" i="2" s="1"/>
  <c r="D21" i="2" s="1"/>
  <c r="D22" i="2" s="1"/>
  <c r="D23" i="2" s="1"/>
  <c r="L19" i="1"/>
  <c r="L4" i="1" s="1"/>
  <c r="L38" i="1" s="1"/>
  <c r="P37" i="1"/>
  <c r="P21" i="1" s="1"/>
  <c r="P38" i="1" s="1"/>
  <c r="K38" i="1"/>
  <c r="I38" i="1"/>
  <c r="M38" i="1"/>
  <c r="J38" i="1"/>
  <c r="Q38" i="1"/>
  <c r="N38" i="1"/>
  <c r="H7" i="4"/>
  <c r="F4" i="1"/>
  <c r="G4" i="1"/>
  <c r="F21" i="1"/>
  <c r="E4" i="1"/>
  <c r="E21" i="1"/>
  <c r="G29" i="1"/>
  <c r="G32" i="1"/>
  <c r="H8" i="6"/>
  <c r="C8" i="6"/>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C2" i="4"/>
  <c r="D2" i="4" s="1"/>
  <c r="E2" i="4" s="1"/>
  <c r="F2" i="4" s="1"/>
  <c r="G2" i="4" s="1"/>
  <c r="H2" i="4" s="1"/>
  <c r="I2" i="4" s="1"/>
  <c r="J2" i="4" s="1"/>
  <c r="K2" i="4" s="1"/>
  <c r="L2" i="4" s="1"/>
  <c r="M2" i="4" s="1"/>
  <c r="N2" i="4" s="1"/>
  <c r="O2" i="4" s="1"/>
  <c r="P2" i="4" s="1"/>
  <c r="Q2" i="4" s="1"/>
  <c r="C2" i="6"/>
  <c r="D2" i="6" s="1"/>
  <c r="E2" i="6" s="1"/>
  <c r="F2" i="6" s="1"/>
  <c r="G2" i="6" s="1"/>
  <c r="H2" i="6" s="1"/>
  <c r="I2" i="6" s="1"/>
  <c r="J2" i="6" s="1"/>
  <c r="K2" i="6" s="1"/>
  <c r="L2" i="6" s="1"/>
  <c r="M2" i="6" s="1"/>
  <c r="N2" i="6" s="1"/>
  <c r="O2" i="6" s="1"/>
  <c r="P2" i="6" s="1"/>
  <c r="Q2" i="6" s="1"/>
  <c r="A6" i="8"/>
  <c r="A7" i="8"/>
  <c r="A8" i="8"/>
  <c r="A9" i="8"/>
  <c r="A10" i="8"/>
  <c r="A11" i="8"/>
  <c r="A12" i="8"/>
  <c r="A13" i="8"/>
  <c r="A14" i="8"/>
  <c r="A15" i="8"/>
  <c r="A16" i="8"/>
  <c r="A17" i="8"/>
  <c r="A18" i="8"/>
  <c r="A19" i="8"/>
  <c r="A5" i="8"/>
  <c r="D2" i="1" s="1"/>
  <c r="E2" i="1" s="1"/>
  <c r="F2" i="1" s="1"/>
  <c r="G2" i="1" s="1"/>
  <c r="H2" i="1" s="1"/>
  <c r="I2" i="1" s="1"/>
  <c r="J2" i="1" s="1"/>
  <c r="K2" i="1" s="1"/>
  <c r="L2" i="1" s="1"/>
  <c r="M2" i="1" s="1"/>
  <c r="N2" i="1" s="1"/>
  <c r="O2" i="1" s="1"/>
  <c r="P2" i="1" s="1"/>
  <c r="Q2" i="1" s="1"/>
  <c r="R2" i="1" s="1"/>
  <c r="F38" i="1" l="1"/>
  <c r="C4" i="1"/>
  <c r="E38" i="1"/>
  <c r="E4" i="2"/>
  <c r="E8" i="2"/>
  <c r="E6" i="2"/>
  <c r="E5" i="2"/>
  <c r="E7" i="2"/>
  <c r="D24" i="2"/>
  <c r="D25" i="2" s="1"/>
  <c r="D26" i="2" s="1"/>
  <c r="D27" i="2" s="1"/>
  <c r="D28" i="2" s="1"/>
  <c r="D29" i="2" s="1"/>
  <c r="D30" i="2" s="1"/>
  <c r="D31" i="2" s="1"/>
  <c r="D32" i="2" s="1"/>
  <c r="D33" i="2" s="1"/>
  <c r="I7" i="4"/>
  <c r="F11" i="8" s="1"/>
  <c r="G21" i="1"/>
  <c r="G38" i="1" s="1"/>
  <c r="C9" i="2"/>
  <c r="C10" i="2"/>
  <c r="C11" i="2"/>
  <c r="C12" i="2"/>
  <c r="C13" i="2"/>
  <c r="C14" i="2"/>
  <c r="C15" i="2"/>
  <c r="C16" i="2"/>
  <c r="C17" i="2"/>
  <c r="C18" i="2"/>
  <c r="C19" i="2"/>
  <c r="C20" i="2"/>
  <c r="C21" i="2"/>
  <c r="C22" i="2"/>
  <c r="C23" i="2"/>
  <c r="C24" i="2"/>
  <c r="C25" i="2"/>
  <c r="C26" i="2"/>
  <c r="C27" i="2"/>
  <c r="C28" i="2"/>
  <c r="C29" i="2"/>
  <c r="C30" i="2"/>
  <c r="C31" i="2"/>
  <c r="C32" i="2"/>
  <c r="C33" i="2"/>
  <c r="H10" i="8"/>
  <c r="F10" i="8"/>
  <c r="F9" i="8"/>
  <c r="F8" i="8"/>
  <c r="F7" i="8"/>
  <c r="F6" i="8"/>
  <c r="D10" i="8"/>
  <c r="E8" i="6"/>
  <c r="H7" i="8" s="1"/>
  <c r="H8" i="8"/>
  <c r="G8" i="6"/>
  <c r="H9" i="8" s="1"/>
  <c r="D8" i="6"/>
  <c r="H6" i="8" s="1"/>
  <c r="I8" i="6"/>
  <c r="H11" i="8" s="1"/>
  <c r="J8" i="6"/>
  <c r="H12" i="8" s="1"/>
  <c r="E25" i="2" l="1"/>
  <c r="E24" i="2"/>
  <c r="E31" i="2"/>
  <c r="E27" i="2"/>
  <c r="E30" i="2"/>
  <c r="E26" i="2"/>
  <c r="E33" i="2"/>
  <c r="D34" i="2"/>
  <c r="J7" i="4"/>
  <c r="F12" i="8" s="1"/>
  <c r="C21" i="1"/>
  <c r="D8" i="8"/>
  <c r="E29" i="2"/>
  <c r="E32" i="2"/>
  <c r="E28" i="2"/>
  <c r="F5" i="8"/>
  <c r="D6" i="8"/>
  <c r="L6" i="8" s="1"/>
  <c r="D9" i="8"/>
  <c r="L9" i="8" s="1"/>
  <c r="D11" i="8"/>
  <c r="L11" i="8" s="1"/>
  <c r="D12" i="8"/>
  <c r="D13" i="8"/>
  <c r="D14" i="8"/>
  <c r="D15" i="8"/>
  <c r="D16" i="8"/>
  <c r="D17" i="8"/>
  <c r="D18" i="8"/>
  <c r="D19" i="8"/>
  <c r="E19" i="8" s="1"/>
  <c r="C5" i="8"/>
  <c r="C7" i="8"/>
  <c r="G7" i="8" s="1"/>
  <c r="C8" i="8"/>
  <c r="G8" i="8" s="1"/>
  <c r="C9" i="8"/>
  <c r="I9" i="8" s="1"/>
  <c r="C10" i="8"/>
  <c r="I10" i="8" s="1"/>
  <c r="C11" i="8"/>
  <c r="G11" i="8" s="1"/>
  <c r="C12" i="8"/>
  <c r="I12" i="8" s="1"/>
  <c r="C13" i="8"/>
  <c r="C14" i="8"/>
  <c r="C15" i="8"/>
  <c r="C16" i="8"/>
  <c r="C17" i="8"/>
  <c r="C18" i="8"/>
  <c r="C19" i="8"/>
  <c r="C6" i="8"/>
  <c r="I6" i="8" s="1"/>
  <c r="K7" i="4" l="1"/>
  <c r="F13" i="8" s="1"/>
  <c r="D7" i="8"/>
  <c r="E7" i="8" s="1"/>
  <c r="E16" i="8"/>
  <c r="E15" i="8"/>
  <c r="E14" i="8"/>
  <c r="E12" i="8"/>
  <c r="E11" i="8"/>
  <c r="E17" i="8"/>
  <c r="E18" i="8"/>
  <c r="E13" i="8"/>
  <c r="D5" i="8"/>
  <c r="G5" i="8"/>
  <c r="E8" i="8"/>
  <c r="E9" i="8"/>
  <c r="E10" i="8"/>
  <c r="E6" i="8"/>
  <c r="G10" i="8"/>
  <c r="G9" i="8"/>
  <c r="G6" i="8"/>
  <c r="I8" i="8"/>
  <c r="I11" i="8"/>
  <c r="I7" i="8"/>
  <c r="G12" i="8"/>
  <c r="E5" i="8" l="1"/>
  <c r="D21" i="8"/>
  <c r="L7" i="4"/>
  <c r="F14" i="8" s="1"/>
  <c r="G14" i="8" s="1"/>
  <c r="G13" i="8"/>
  <c r="E21" i="8"/>
  <c r="D44" i="8" s="1"/>
  <c r="M7" i="4" l="1"/>
  <c r="F15" i="8" s="1"/>
  <c r="G15" i="8" s="1"/>
  <c r="H5" i="8"/>
  <c r="K8" i="6"/>
  <c r="H13" i="8" s="1"/>
  <c r="I13" i="8" s="1"/>
  <c r="L8" i="6"/>
  <c r="H14" i="8" s="1"/>
  <c r="I14" i="8" s="1"/>
  <c r="M8" i="6"/>
  <c r="H15" i="8" s="1"/>
  <c r="I15" i="8" s="1"/>
  <c r="N8" i="6"/>
  <c r="H16" i="8" s="1"/>
  <c r="O8" i="6"/>
  <c r="H17" i="8" s="1"/>
  <c r="P8" i="6"/>
  <c r="H18" i="8" s="1"/>
  <c r="Q8" i="6"/>
  <c r="N7" i="4" l="1"/>
  <c r="F16" i="8" s="1"/>
  <c r="L16" i="8" s="1"/>
  <c r="H19" i="8"/>
  <c r="H21" i="8" s="1"/>
  <c r="D39" i="8" s="1"/>
  <c r="H4" i="2"/>
  <c r="L15" i="8"/>
  <c r="L13" i="8"/>
  <c r="I16" i="8"/>
  <c r="I18" i="8"/>
  <c r="I17" i="8"/>
  <c r="I5" i="8"/>
  <c r="L8" i="8"/>
  <c r="L14" i="8"/>
  <c r="L12" i="8"/>
  <c r="L10" i="8"/>
  <c r="I19" i="8" l="1"/>
  <c r="I21" i="8" s="1"/>
  <c r="O7" i="4"/>
  <c r="F17" i="8" s="1"/>
  <c r="G16" i="8"/>
  <c r="H5" i="2"/>
  <c r="I4" i="2"/>
  <c r="L5" i="8"/>
  <c r="L7" i="8"/>
  <c r="G17" i="8" l="1"/>
  <c r="L17" i="8"/>
  <c r="Q7" i="4"/>
  <c r="F4" i="2" s="1"/>
  <c r="P7" i="4"/>
  <c r="F18" i="8" s="1"/>
  <c r="H6" i="2"/>
  <c r="I5" i="2"/>
  <c r="E13" i="2"/>
  <c r="E12" i="2"/>
  <c r="E20" i="2"/>
  <c r="E16" i="2"/>
  <c r="E19" i="2"/>
  <c r="E17" i="2"/>
  <c r="E11" i="2"/>
  <c r="E14" i="2"/>
  <c r="E23" i="2"/>
  <c r="E10" i="2"/>
  <c r="E15" i="2"/>
  <c r="E21" i="2"/>
  <c r="E22" i="2"/>
  <c r="E18" i="2"/>
  <c r="E9" i="2"/>
  <c r="F19" i="8" l="1"/>
  <c r="G19" i="8" s="1"/>
  <c r="G18" i="8"/>
  <c r="L18" i="8"/>
  <c r="H7" i="2"/>
  <c r="I6" i="2"/>
  <c r="E34" i="2"/>
  <c r="G21" i="8" l="1"/>
  <c r="F21" i="8"/>
  <c r="D41" i="8" s="1"/>
  <c r="G4" i="2"/>
  <c r="F5" i="2"/>
  <c r="H8" i="2"/>
  <c r="I7" i="2"/>
  <c r="F6" i="2" l="1"/>
  <c r="G5" i="2"/>
  <c r="H9" i="2"/>
  <c r="I8" i="2"/>
  <c r="F7" i="2" l="1"/>
  <c r="G6" i="2"/>
  <c r="H10" i="2"/>
  <c r="I9" i="2"/>
  <c r="F8" i="2" l="1"/>
  <c r="G7" i="2"/>
  <c r="H11" i="2"/>
  <c r="I10" i="2"/>
  <c r="F9" i="2" l="1"/>
  <c r="G8" i="2"/>
  <c r="H12" i="2"/>
  <c r="I11" i="2"/>
  <c r="F10" i="2" l="1"/>
  <c r="G9" i="2"/>
  <c r="H13" i="2"/>
  <c r="I12" i="2"/>
  <c r="F11" i="2" l="1"/>
  <c r="G10" i="2"/>
  <c r="H14" i="2"/>
  <c r="I13" i="2"/>
  <c r="F12" i="2" l="1"/>
  <c r="G11" i="2"/>
  <c r="H15" i="2"/>
  <c r="I14" i="2"/>
  <c r="F13" i="2" l="1"/>
  <c r="G12" i="2"/>
  <c r="H16" i="2"/>
  <c r="I15" i="2"/>
  <c r="F14" i="2" l="1"/>
  <c r="G13" i="2"/>
  <c r="H17" i="2"/>
  <c r="I16" i="2"/>
  <c r="F15" i="2" l="1"/>
  <c r="G14" i="2"/>
  <c r="H18" i="2"/>
  <c r="I17" i="2"/>
  <c r="F16" i="2" l="1"/>
  <c r="G15" i="2"/>
  <c r="H19" i="2"/>
  <c r="I18" i="2"/>
  <c r="F17" i="2" l="1"/>
  <c r="G16" i="2"/>
  <c r="H20" i="2"/>
  <c r="I19" i="2"/>
  <c r="F18" i="2" l="1"/>
  <c r="G17" i="2"/>
  <c r="H21" i="2"/>
  <c r="I20" i="2"/>
  <c r="F19" i="2" l="1"/>
  <c r="G18" i="2"/>
  <c r="H22" i="2"/>
  <c r="I21" i="2"/>
  <c r="F20" i="2" l="1"/>
  <c r="G19" i="2"/>
  <c r="H23" i="2"/>
  <c r="I22" i="2"/>
  <c r="F21" i="2" l="1"/>
  <c r="G20" i="2"/>
  <c r="H24" i="2"/>
  <c r="I23" i="2"/>
  <c r="F22" i="2" l="1"/>
  <c r="G21" i="2"/>
  <c r="H25" i="2"/>
  <c r="I24" i="2"/>
  <c r="F23" i="2" l="1"/>
  <c r="G22" i="2"/>
  <c r="H26" i="2"/>
  <c r="I25" i="2"/>
  <c r="F24" i="2" l="1"/>
  <c r="G23" i="2"/>
  <c r="H27" i="2"/>
  <c r="I26" i="2"/>
  <c r="F25" i="2" l="1"/>
  <c r="G24" i="2"/>
  <c r="H28" i="2"/>
  <c r="I27" i="2"/>
  <c r="F26" i="2" l="1"/>
  <c r="G25" i="2"/>
  <c r="H29" i="2"/>
  <c r="I28" i="2"/>
  <c r="F27" i="2" l="1"/>
  <c r="G26" i="2"/>
  <c r="H30" i="2"/>
  <c r="I29" i="2"/>
  <c r="F28" i="2" l="1"/>
  <c r="G27" i="2"/>
  <c r="H31" i="2"/>
  <c r="I30" i="2"/>
  <c r="F29" i="2" l="1"/>
  <c r="G28" i="2"/>
  <c r="H32" i="2"/>
  <c r="I31" i="2"/>
  <c r="F30" i="2" l="1"/>
  <c r="G29" i="2"/>
  <c r="H33" i="2"/>
  <c r="I32" i="2"/>
  <c r="F31" i="2" l="1"/>
  <c r="G30" i="2"/>
  <c r="I33" i="2"/>
  <c r="I34" i="2" s="1"/>
  <c r="H34" i="2"/>
  <c r="F32" i="2" l="1"/>
  <c r="G31" i="2"/>
  <c r="F33" i="2" l="1"/>
  <c r="G32" i="2"/>
  <c r="G33" i="2" l="1"/>
  <c r="G34" i="2" s="1"/>
  <c r="K19" i="8" s="1"/>
  <c r="K21" i="8" s="1"/>
  <c r="F34" i="2"/>
  <c r="J19" i="8" s="1"/>
  <c r="D45" i="8" l="1"/>
  <c r="D43" i="8" s="1"/>
  <c r="J21" i="8"/>
  <c r="L19" i="8"/>
  <c r="L21" i="8" s="1"/>
  <c r="D47" i="8" l="1"/>
  <c r="D51" i="8" s="1"/>
  <c r="D54" i="8" s="1"/>
  <c r="D40" i="8"/>
  <c r="D38" i="8" s="1"/>
</calcChain>
</file>

<file path=xl/sharedStrings.xml><?xml version="1.0" encoding="utf-8"?>
<sst xmlns="http://schemas.openxmlformats.org/spreadsheetml/2006/main" count="231" uniqueCount="121">
  <si>
    <t>Totaal</t>
  </si>
  <si>
    <t>Inkomsten</t>
  </si>
  <si>
    <t>Investeringen</t>
  </si>
  <si>
    <t>Coefficient</t>
  </si>
  <si>
    <t>Restwaarde</t>
  </si>
  <si>
    <t>Funding gap ratio</t>
  </si>
  <si>
    <t>EFRO-percentage</t>
  </si>
  <si>
    <t>Jaar</t>
  </si>
  <si>
    <t>Kosten</t>
  </si>
  <si>
    <t>Netto-kasstroom</t>
  </si>
  <si>
    <t>Exploitatiekosten</t>
  </si>
  <si>
    <t>Maximale EFRO subsidie</t>
  </si>
  <si>
    <t>Verdisconteerde kosten</t>
  </si>
  <si>
    <t>Verdisconteerde inkomsten</t>
  </si>
  <si>
    <t>Netto-inkomsten</t>
  </si>
  <si>
    <t>Verdisconteerde totale investeringskoten</t>
  </si>
  <si>
    <t>verdisconteerde netto-inkomsten</t>
  </si>
  <si>
    <t>funding gap:</t>
  </si>
  <si>
    <t>Inkomsten:</t>
  </si>
  <si>
    <t>verdisconteerde investeringen</t>
  </si>
  <si>
    <t>Verdisconteerde restwaarde</t>
  </si>
  <si>
    <t>funding gap ratio</t>
  </si>
  <si>
    <t>EFRO-steun</t>
  </si>
  <si>
    <t>Subsidiabele uitgaven i.h.k.v. EFRO-project</t>
  </si>
  <si>
    <t>Toelichting</t>
  </si>
  <si>
    <t>TOTAAL</t>
  </si>
  <si>
    <t>Project nr.</t>
  </si>
  <si>
    <t>Over te nemen uit de kostendetaillering</t>
  </si>
  <si>
    <t>Eventueel aan te passen afhankelijk van gevraagd steunpercentage.</t>
  </si>
  <si>
    <t>Projectnaam:</t>
  </si>
  <si>
    <t>startjaartal</t>
  </si>
  <si>
    <t>In het tabblad Toelichting geeft u een verdere toelichting. Voor ieder cijfer wordt een toelichting verwacht.</t>
  </si>
  <si>
    <t>In de tabbladen Investeringen, Inkomsten, Kosten, geeft u bij 'toelichting' een beknopte berekening.</t>
  </si>
  <si>
    <t>In het tabblad 'Funding Gap' vult u enkel de vakjes in het groen in. De overige vakjes worden automatisch ingevuld vanuit de andere tabbladen.</t>
  </si>
  <si>
    <t>De subrubrieken in de tabbladen Investerinen, Inkomsten, Kosten zijn indicatief, deze kunnen voor uw project verschillen en kan u verder aanpassen.</t>
  </si>
  <si>
    <t>Berekening restwaarde</t>
  </si>
  <si>
    <t>DEEL A: kantoorgebouw</t>
  </si>
  <si>
    <t>Verwervingskosten</t>
  </si>
  <si>
    <t xml:space="preserve">overige verwervingskosten </t>
  </si>
  <si>
    <t>aankoopkosten kantoorgebouw</t>
  </si>
  <si>
    <t>Bouwkosten</t>
  </si>
  <si>
    <t>Bouwrijp maken van het terrein/sloopkosten</t>
  </si>
  <si>
    <t>Bouwkosten opstallen</t>
  </si>
  <si>
    <t>Bouwkosten buitenaanleg en nutsleidingen</t>
  </si>
  <si>
    <t>Advies- en ontwikkelingskosten</t>
  </si>
  <si>
    <t>Advieskosten bouw</t>
  </si>
  <si>
    <t>Advieskosten exploitatie en marketing</t>
  </si>
  <si>
    <t>Diverse ontwikkelingskosten</t>
  </si>
  <si>
    <t>Financiële kosten</t>
  </si>
  <si>
    <t>Niet recupereerbare BTW</t>
  </si>
  <si>
    <t>Percentage niet recup-BTW</t>
  </si>
  <si>
    <t>Investeringen in structureel onderhoud (verdisconteerd)</t>
  </si>
  <si>
    <t>Tijdelijk inrichten gebouw</t>
  </si>
  <si>
    <t xml:space="preserve">Met oog op structurele vernieuwing en onderhoud van het gebouw wordt rekening gehouden met een verdiscontering van de nieuwbouwwaarde van het gebouw gespreid over 50 jaar. Deze investeringen worden jaarlijks met 4% verhoogd i.k.v. indexering bouwprijzen. </t>
  </si>
  <si>
    <t>Totale inkomsten o.b.v. verhuur atelierruimtes en horeca</t>
  </si>
  <si>
    <t>Totale inkomsten o.b.v. verhuur bedrijvencentrum met labo's</t>
  </si>
  <si>
    <t>Inkomsten deel A: kantoorgebouw</t>
  </si>
  <si>
    <t>Verhuur kantoren/co-working</t>
  </si>
  <si>
    <t>aantal personen</t>
  </si>
  <si>
    <t>€/persoon/maand</t>
  </si>
  <si>
    <t>Co-working</t>
  </si>
  <si>
    <t>Kantoren</t>
  </si>
  <si>
    <t>Basisbezetting van 85%</t>
  </si>
  <si>
    <t>Totale jaarlijkse inkomsten</t>
  </si>
  <si>
    <t>Eventruimtes</t>
  </si>
  <si>
    <t>prijs per gebruik</t>
  </si>
  <si>
    <t>Aantal ruimtes</t>
  </si>
  <si>
    <t>Aantal verhuringen per maand</t>
  </si>
  <si>
    <t>10 maanden in verhuur</t>
  </si>
  <si>
    <t>Workshop&amp;opleidingsruimte</t>
  </si>
  <si>
    <t>Kleine vergaderruimtes</t>
  </si>
  <si>
    <t>Grote vergaderruimte</t>
  </si>
  <si>
    <t>Atelierruimtes</t>
  </si>
  <si>
    <t>Aantal m²</t>
  </si>
  <si>
    <t>€/m²/jaar</t>
  </si>
  <si>
    <t>Onderstaand worden de berekeningen en assumpties mee vermeld</t>
  </si>
  <si>
    <t>Verhuur labo's, ateliers, demoruimte en horeca</t>
  </si>
  <si>
    <t>Type ruimte</t>
  </si>
  <si>
    <t>aantal m²</t>
  </si>
  <si>
    <t>bezettingsgraad</t>
  </si>
  <si>
    <t>Atelier/labo</t>
  </si>
  <si>
    <t>demoruimte</t>
  </si>
  <si>
    <t>horeca</t>
  </si>
  <si>
    <t>Verhuur eventuimtes</t>
  </si>
  <si>
    <t>€/dag</t>
  </si>
  <si>
    <t>aantal verhuringen per maand</t>
  </si>
  <si>
    <t>Aantal maand te verhuren</t>
  </si>
  <si>
    <t>De details van de exploitatiekosten worden onderstaand toegelicht</t>
  </si>
  <si>
    <t>Totale kost kantoorgebouw</t>
  </si>
  <si>
    <t>Eigenaarskosten vastgoedvennootschap</t>
  </si>
  <si>
    <t>Gebouwenbeheer en administratie (0,2 VTE)</t>
  </si>
  <si>
    <t>Syndicus en bijdrage VME</t>
  </si>
  <si>
    <t>Boekhouding en adviezen</t>
  </si>
  <si>
    <t>Vennootschapsbijdrage en overige taksen</t>
  </si>
  <si>
    <t>Verzekeringen</t>
  </si>
  <si>
    <t>Onroerende voorheffing</t>
  </si>
  <si>
    <t>Onderhoud &amp; herstellingen</t>
  </si>
  <si>
    <t>Office manager</t>
  </si>
  <si>
    <t>Community manager</t>
  </si>
  <si>
    <t>Internet</t>
  </si>
  <si>
    <t>Printfaciliteiten</t>
  </si>
  <si>
    <t>Faas</t>
  </si>
  <si>
    <t>Energieverbruik</t>
  </si>
  <si>
    <t>Water</t>
  </si>
  <si>
    <t>Schoonmaak</t>
  </si>
  <si>
    <t>Sanitair</t>
  </si>
  <si>
    <t>Afvalverwerking</t>
  </si>
  <si>
    <t>Koffie en catering</t>
  </si>
  <si>
    <t>Marketing</t>
  </si>
  <si>
    <t>Organisatie community events</t>
  </si>
  <si>
    <t>Diverse/onvoorziene kosten ( 10%)</t>
  </si>
  <si>
    <t>Verzekering</t>
  </si>
  <si>
    <t>Onderhoud en herstellingen</t>
  </si>
  <si>
    <t xml:space="preserve">Marketing </t>
  </si>
  <si>
    <t>Onvoorziene kosten</t>
  </si>
  <si>
    <t>Faas (Furniture as a service)</t>
  </si>
  <si>
    <t>DEEL B: ateliers</t>
  </si>
  <si>
    <t>Inkomsten deel B: ateliers</t>
  </si>
  <si>
    <t>Totale kost ateliers</t>
  </si>
  <si>
    <t>Funding gap 15 jaar voorbeeld</t>
  </si>
  <si>
    <r>
      <rPr>
        <b/>
        <sz val="11"/>
        <rFont val="FlandersArtSans-Regular"/>
      </rPr>
      <t>Eigenaarskosten</t>
    </r>
    <r>
      <rPr>
        <sz val="11"/>
        <rFont val="FlandersArtSans-Regula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</si>
</sst>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quot;€&quot;\ #,##0;&quot;€&quot;\ \-#,##0"/>
    <numFmt numFmtId="165" formatCode="_-* #,##0.00\ _€_-;\-* #,##0.00\ _€_-;_-* &quot;-&quot;??\ _€_-;_-@_-"/>
    <numFmt numFmtId="166" formatCode="_-* #,##0.00\ _E_U_R_-;\-* #,##0.00\ _E_U_R_-;_-* &quot;-&quot;??\ _E_U_R_-;_-@_-"/>
    <numFmt numFmtId="167" formatCode="000"/>
    <numFmt numFmtId="168" formatCode="00"/>
    <numFmt numFmtId="169" formatCode="_-* #,##0\ _€_-;\-* #,##0\ _€_-;_-* &quot;-&quot;??\ _€_-;_-@_-"/>
    <numFmt numFmtId="170" formatCode="&quot;€&quot;\ #,##0.00"/>
    <numFmt numFmtId="171" formatCode="#,##0.00\ &quot;€&quot;"/>
    <numFmt numFmtId="172" formatCode="#,##0\ &quot;€&quot;"/>
    <numFmt numFmtId="173" formatCode="#,##0.00_ ;\-#,##0.00\ "/>
  </numFmts>
  <fonts count="16" x14ac:knownFonts="1">
    <font>
      <sz val="11"/>
      <name val="Garamond"/>
    </font>
    <font>
      <sz val="11"/>
      <name val="Garamond"/>
      <family val="1"/>
    </font>
    <font>
      <sz val="8"/>
      <name val="Garamond"/>
      <family val="1"/>
    </font>
    <font>
      <sz val="11"/>
      <name val="FlandersArtSans-Regular"/>
    </font>
    <font>
      <b/>
      <sz val="11"/>
      <name val="FlandersArtSans-Regular"/>
    </font>
    <font>
      <b/>
      <sz val="10"/>
      <name val="FlandersArtSans-Regular"/>
    </font>
    <font>
      <i/>
      <sz val="11"/>
      <name val="FlandersArtSans-Regular"/>
    </font>
    <font>
      <b/>
      <sz val="11"/>
      <color rgb="FFFF0000"/>
      <name val="FlandersArtSans-Regular"/>
    </font>
    <font>
      <b/>
      <sz val="11"/>
      <color rgb="FF7030A0"/>
      <name val="FlandersArtSans-Regular"/>
    </font>
    <font>
      <b/>
      <sz val="12"/>
      <color theme="4" tint="-0.249977111117893"/>
      <name val="FlandersArtSans-Regular"/>
    </font>
    <font>
      <b/>
      <sz val="8"/>
      <name val="FlandersArtSans-Regular"/>
    </font>
    <font>
      <b/>
      <sz val="7"/>
      <name val="FlandersArtSans-Regular"/>
    </font>
    <font>
      <sz val="8"/>
      <name val="FlandersArtSans-Regular"/>
    </font>
    <font>
      <i/>
      <sz val="8"/>
      <name val="FlandersArtSans-Regular"/>
    </font>
    <font>
      <b/>
      <i/>
      <sz val="8"/>
      <name val="FlandersArtSans-Regular"/>
    </font>
    <font>
      <sz val="14"/>
      <color theme="3"/>
      <name val="FlandersArtSans-Bold"/>
    </font>
  </fonts>
  <fills count="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3" fillId="0" borderId="0" xfId="0" applyFont="1"/>
    <xf numFmtId="0" fontId="4" fillId="0" borderId="0" xfId="0" applyFont="1"/>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 xfId="0" applyFont="1" applyFill="1" applyBorder="1" applyAlignment="1">
      <alignment horizontal="center" wrapText="1"/>
    </xf>
    <xf numFmtId="0" fontId="3" fillId="0" borderId="0" xfId="0" applyFont="1" applyAlignment="1">
      <alignment wrapText="1"/>
    </xf>
    <xf numFmtId="0" fontId="4" fillId="0" borderId="1" xfId="0" applyFont="1" applyBorder="1"/>
    <xf numFmtId="0" fontId="4" fillId="4" borderId="1" xfId="0" applyFont="1" applyFill="1" applyBorder="1"/>
    <xf numFmtId="9" fontId="4" fillId="0" borderId="1" xfId="0" applyNumberFormat="1" applyFont="1" applyBorder="1"/>
    <xf numFmtId="0" fontId="3" fillId="0" borderId="1" xfId="0" applyFont="1" applyBorder="1"/>
    <xf numFmtId="0" fontId="4" fillId="0" borderId="1" xfId="0" applyFont="1" applyBorder="1" applyAlignment="1">
      <alignment horizontal="right"/>
    </xf>
    <xf numFmtId="2" fontId="4" fillId="0" borderId="1" xfId="0" applyNumberFormat="1" applyFont="1" applyBorder="1"/>
    <xf numFmtId="170" fontId="3" fillId="0" borderId="1" xfId="0" applyNumberFormat="1" applyFont="1" applyBorder="1"/>
    <xf numFmtId="170" fontId="3" fillId="0" borderId="1" xfId="0" applyNumberFormat="1" applyFont="1" applyFill="1" applyBorder="1"/>
    <xf numFmtId="0" fontId="4" fillId="0" borderId="1" xfId="0" applyFont="1" applyBorder="1" applyAlignment="1">
      <alignment horizontal="center"/>
    </xf>
    <xf numFmtId="170" fontId="4" fillId="0" borderId="1" xfId="0" applyNumberFormat="1" applyFont="1" applyBorder="1"/>
    <xf numFmtId="170" fontId="3" fillId="0" borderId="0" xfId="0" applyNumberFormat="1" applyFont="1"/>
    <xf numFmtId="171" fontId="3" fillId="0" borderId="0" xfId="0" applyNumberFormat="1" applyFont="1"/>
    <xf numFmtId="44" fontId="3" fillId="0" borderId="0" xfId="0" applyNumberFormat="1" applyFont="1"/>
    <xf numFmtId="44" fontId="3" fillId="3" borderId="0" xfId="0" applyNumberFormat="1" applyFont="1" applyFill="1"/>
    <xf numFmtId="10" fontId="3" fillId="0" borderId="0" xfId="0" applyNumberFormat="1" applyFont="1"/>
    <xf numFmtId="10" fontId="3" fillId="0" borderId="0" xfId="3" applyNumberFormat="1" applyFont="1"/>
    <xf numFmtId="0" fontId="3" fillId="0" borderId="0" xfId="0" applyFont="1" applyAlignment="1">
      <alignment horizontal="right" wrapText="1"/>
    </xf>
    <xf numFmtId="0" fontId="3" fillId="0" borderId="0" xfId="0" applyFont="1" applyAlignment="1">
      <alignment horizontal="right"/>
    </xf>
    <xf numFmtId="44" fontId="3" fillId="4" borderId="0" xfId="0" applyNumberFormat="1" applyFont="1" applyFill="1"/>
    <xf numFmtId="9" fontId="3" fillId="4" borderId="0" xfId="3" applyFont="1" applyFill="1"/>
    <xf numFmtId="9" fontId="3" fillId="0" borderId="0" xfId="3" applyFont="1"/>
    <xf numFmtId="166" fontId="3" fillId="0" borderId="0" xfId="0" applyNumberFormat="1" applyFont="1"/>
    <xf numFmtId="0" fontId="3" fillId="6" borderId="0" xfId="0" applyFont="1" applyFill="1"/>
    <xf numFmtId="0" fontId="4" fillId="6" borderId="1" xfId="0" applyFont="1" applyFill="1" applyBorder="1" applyAlignment="1">
      <alignment horizontal="center"/>
    </xf>
    <xf numFmtId="172" fontId="4" fillId="6" borderId="1" xfId="0" applyNumberFormat="1" applyFont="1" applyFill="1" applyBorder="1" applyAlignment="1">
      <alignment horizontal="center"/>
    </xf>
    <xf numFmtId="0" fontId="4" fillId="6" borderId="1" xfId="0" applyFont="1" applyFill="1" applyBorder="1" applyAlignment="1">
      <alignment vertical="top" wrapText="1"/>
    </xf>
    <xf numFmtId="172" fontId="4" fillId="6" borderId="1" xfId="0" applyNumberFormat="1" applyFont="1" applyFill="1" applyBorder="1" applyAlignment="1">
      <alignment vertical="top" wrapText="1"/>
    </xf>
    <xf numFmtId="0" fontId="4" fillId="6" borderId="1" xfId="0" quotePrefix="1" applyNumberFormat="1" applyFont="1" applyFill="1" applyBorder="1" applyAlignment="1">
      <alignment horizontal="center" vertical="top" wrapText="1"/>
    </xf>
    <xf numFmtId="0" fontId="4" fillId="6" borderId="0" xfId="0" applyFont="1" applyFill="1" applyAlignment="1">
      <alignment vertical="top"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172" fontId="4" fillId="5" borderId="1" xfId="0" applyNumberFormat="1" applyFont="1" applyFill="1" applyBorder="1" applyAlignment="1">
      <alignment vertical="top" wrapText="1"/>
    </xf>
    <xf numFmtId="0" fontId="4" fillId="5" borderId="1" xfId="0" quotePrefix="1" applyNumberFormat="1" applyFont="1" applyFill="1" applyBorder="1" applyAlignment="1">
      <alignment horizontal="center" vertical="top" wrapText="1"/>
    </xf>
    <xf numFmtId="0" fontId="4" fillId="5" borderId="0" xfId="0" applyFont="1" applyFill="1" applyAlignment="1">
      <alignment vertical="top" wrapText="1"/>
    </xf>
    <xf numFmtId="0" fontId="4" fillId="3" borderId="1" xfId="0" applyFont="1" applyFill="1" applyBorder="1" applyAlignment="1">
      <alignment vertical="center" wrapText="1"/>
    </xf>
    <xf numFmtId="0" fontId="4" fillId="0" borderId="1" xfId="0" applyFont="1" applyBorder="1" applyAlignment="1">
      <alignment vertical="top" wrapText="1"/>
    </xf>
    <xf numFmtId="170" fontId="4" fillId="0" borderId="1" xfId="0" applyNumberFormat="1" applyFont="1" applyBorder="1" applyAlignment="1">
      <alignment vertical="center" wrapText="1"/>
    </xf>
    <xf numFmtId="170" fontId="4" fillId="0" borderId="1" xfId="0" quotePrefix="1" applyNumberFormat="1" applyFont="1" applyBorder="1" applyAlignment="1">
      <alignment horizontal="right" vertical="top" wrapText="1"/>
    </xf>
    <xf numFmtId="0" fontId="4" fillId="0" borderId="0" xfId="0" applyFont="1" applyAlignment="1">
      <alignment vertical="top"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top" wrapText="1"/>
    </xf>
    <xf numFmtId="172" fontId="4" fillId="0" borderId="1" xfId="0" applyNumberFormat="1" applyFont="1" applyBorder="1" applyAlignment="1">
      <alignment horizontal="left" vertical="top" wrapText="1"/>
    </xf>
    <xf numFmtId="0" fontId="4" fillId="0" borderId="1" xfId="0" quotePrefix="1" applyNumberFormat="1" applyFont="1" applyBorder="1" applyAlignment="1">
      <alignment horizontal="left" vertical="top" wrapText="1"/>
    </xf>
    <xf numFmtId="0" fontId="4" fillId="0" borderId="0" xfId="0" applyFont="1" applyAlignment="1">
      <alignment horizontal="left" vertical="top" wrapText="1"/>
    </xf>
    <xf numFmtId="0" fontId="3" fillId="3" borderId="1" xfId="0" applyFont="1" applyFill="1" applyBorder="1"/>
    <xf numFmtId="172" fontId="3" fillId="3" borderId="1" xfId="0" applyNumberFormat="1" applyFont="1" applyFill="1" applyBorder="1"/>
    <xf numFmtId="170" fontId="3" fillId="3" borderId="1" xfId="1" applyNumberFormat="1" applyFont="1" applyFill="1" applyBorder="1"/>
    <xf numFmtId="0" fontId="3" fillId="3" borderId="0" xfId="0" applyFont="1" applyFill="1"/>
    <xf numFmtId="0" fontId="4" fillId="3" borderId="1" xfId="0" applyFont="1" applyFill="1" applyBorder="1" applyAlignment="1">
      <alignment horizontal="left"/>
    </xf>
    <xf numFmtId="172" fontId="4" fillId="3" borderId="1" xfId="0" applyNumberFormat="1" applyFont="1" applyFill="1" applyBorder="1" applyAlignment="1">
      <alignment horizontal="left"/>
    </xf>
    <xf numFmtId="170" fontId="4" fillId="3" borderId="1" xfId="1" applyNumberFormat="1" applyFont="1" applyFill="1" applyBorder="1" applyAlignment="1">
      <alignment horizontal="left"/>
    </xf>
    <xf numFmtId="0" fontId="4" fillId="3" borderId="0" xfId="0" applyFont="1" applyFill="1" applyAlignment="1">
      <alignment horizontal="left"/>
    </xf>
    <xf numFmtId="0" fontId="3" fillId="3" borderId="1" xfId="0" applyFont="1" applyFill="1" applyBorder="1" applyAlignment="1">
      <alignment vertical="center"/>
    </xf>
    <xf numFmtId="0" fontId="6" fillId="3" borderId="1" xfId="0" applyFont="1" applyFill="1" applyBorder="1" applyAlignment="1">
      <alignment vertical="center" wrapText="1"/>
    </xf>
    <xf numFmtId="172" fontId="3" fillId="3" borderId="1" xfId="0" applyNumberFormat="1" applyFont="1" applyFill="1" applyBorder="1" applyAlignment="1">
      <alignment vertical="center"/>
    </xf>
    <xf numFmtId="170" fontId="3" fillId="3" borderId="1" xfId="1" applyNumberFormat="1" applyFont="1" applyFill="1" applyBorder="1" applyAlignment="1">
      <alignment vertical="center"/>
    </xf>
    <xf numFmtId="0" fontId="3" fillId="3" borderId="0" xfId="0" applyFont="1" applyFill="1" applyAlignment="1">
      <alignment vertical="center"/>
    </xf>
    <xf numFmtId="44" fontId="4" fillId="3" borderId="1" xfId="1" applyFont="1" applyFill="1" applyBorder="1" applyAlignment="1">
      <alignment horizontal="left"/>
    </xf>
    <xf numFmtId="44" fontId="3" fillId="3" borderId="1" xfId="1" applyFont="1" applyFill="1" applyBorder="1"/>
    <xf numFmtId="172" fontId="3" fillId="3" borderId="1" xfId="1" applyNumberFormat="1" applyFont="1" applyFill="1" applyBorder="1"/>
    <xf numFmtId="0" fontId="4" fillId="6" borderId="1" xfId="0" applyFont="1" applyFill="1" applyBorder="1" applyAlignment="1">
      <alignment horizontal="left"/>
    </xf>
    <xf numFmtId="0" fontId="4" fillId="6" borderId="1" xfId="0" applyFont="1" applyFill="1" applyBorder="1"/>
    <xf numFmtId="172" fontId="4" fillId="6" borderId="1" xfId="0" applyNumberFormat="1" applyFont="1" applyFill="1" applyBorder="1"/>
    <xf numFmtId="170" fontId="4" fillId="6" borderId="1" xfId="0" applyNumberFormat="1" applyFont="1" applyFill="1" applyBorder="1"/>
    <xf numFmtId="0" fontId="4" fillId="6" borderId="0" xfId="0" applyFont="1" applyFill="1"/>
    <xf numFmtId="0" fontId="3" fillId="0" borderId="0" xfId="0" applyFont="1" applyFill="1"/>
    <xf numFmtId="172" fontId="3" fillId="0" borderId="0" xfId="0" applyNumberFormat="1" applyFont="1" applyFill="1"/>
    <xf numFmtId="44" fontId="3" fillId="0" borderId="0" xfId="0" applyNumberFormat="1" applyFont="1" applyFill="1"/>
    <xf numFmtId="172" fontId="3" fillId="0" borderId="0" xfId="0" applyNumberFormat="1" applyFont="1"/>
    <xf numFmtId="0" fontId="3" fillId="2" borderId="0" xfId="0" applyFont="1" applyFill="1"/>
    <xf numFmtId="0" fontId="4" fillId="3" borderId="1" xfId="0" applyFont="1" applyFill="1" applyBorder="1" applyAlignment="1">
      <alignment horizontal="center"/>
    </xf>
    <xf numFmtId="0" fontId="4" fillId="3" borderId="1" xfId="0" applyFont="1" applyFill="1" applyBorder="1" applyAlignment="1">
      <alignment vertical="top" wrapText="1"/>
    </xf>
    <xf numFmtId="0" fontId="4" fillId="0" borderId="1" xfId="0" quotePrefix="1" applyNumberFormat="1" applyFont="1" applyBorder="1" applyAlignment="1">
      <alignment horizontal="center" vertical="top" wrapText="1"/>
    </xf>
    <xf numFmtId="44" fontId="4" fillId="3" borderId="1" xfId="1" applyFont="1" applyFill="1" applyBorder="1"/>
    <xf numFmtId="0" fontId="4" fillId="3" borderId="0" xfId="0" applyFont="1" applyFill="1"/>
    <xf numFmtId="0" fontId="4" fillId="5" borderId="1" xfId="0" applyFont="1" applyFill="1" applyBorder="1" applyAlignment="1">
      <alignment vertical="top" wrapText="1"/>
    </xf>
    <xf numFmtId="3" fontId="3" fillId="0" borderId="1" xfId="0" applyNumberFormat="1" applyFont="1" applyFill="1" applyBorder="1" applyAlignment="1" applyProtection="1">
      <alignment horizontal="left" vertical="center"/>
    </xf>
    <xf numFmtId="3" fontId="6" fillId="0" borderId="1" xfId="0" applyNumberFormat="1" applyFont="1" applyFill="1" applyBorder="1" applyAlignment="1" applyProtection="1">
      <alignment horizontal="left" vertical="center" wrapText="1"/>
    </xf>
    <xf numFmtId="164" fontId="3" fillId="0" borderId="1" xfId="2" applyNumberFormat="1" applyFont="1" applyBorder="1" applyAlignment="1">
      <alignment vertical="center"/>
    </xf>
    <xf numFmtId="164" fontId="7" fillId="0" borderId="1" xfId="2" applyNumberFormat="1" applyFont="1" applyBorder="1" applyAlignment="1">
      <alignment vertical="center"/>
    </xf>
    <xf numFmtId="0" fontId="3" fillId="0" borderId="0" xfId="0" applyFont="1" applyAlignment="1">
      <alignment vertical="center"/>
    </xf>
    <xf numFmtId="172" fontId="4" fillId="5" borderId="1" xfId="0" applyNumberFormat="1" applyFont="1" applyFill="1" applyBorder="1" applyAlignment="1">
      <alignment vertical="center" wrapText="1"/>
    </xf>
    <xf numFmtId="0" fontId="4" fillId="5" borderId="1" xfId="0" quotePrefix="1" applyNumberFormat="1" applyFont="1" applyFill="1" applyBorder="1" applyAlignment="1">
      <alignment horizontal="center" vertical="center" wrapText="1"/>
    </xf>
    <xf numFmtId="0" fontId="4" fillId="5" borderId="0" xfId="0" applyFont="1" applyFill="1" applyAlignment="1">
      <alignment vertical="center" wrapText="1"/>
    </xf>
    <xf numFmtId="3" fontId="4" fillId="0" borderId="1" xfId="0" applyNumberFormat="1" applyFont="1" applyFill="1" applyBorder="1" applyAlignment="1" applyProtection="1">
      <alignment horizontal="center"/>
    </xf>
    <xf numFmtId="3" fontId="4" fillId="0" borderId="1" xfId="0" applyNumberFormat="1" applyFont="1" applyFill="1" applyBorder="1" applyAlignment="1" applyProtection="1">
      <alignment horizontal="left"/>
    </xf>
    <xf numFmtId="169" fontId="4" fillId="0" borderId="1" xfId="2" applyNumberFormat="1" applyFont="1" applyBorder="1"/>
    <xf numFmtId="3" fontId="3" fillId="0" borderId="3" xfId="0" applyNumberFormat="1" applyFont="1" applyFill="1" applyBorder="1" applyAlignment="1" applyProtection="1">
      <alignment horizontal="left"/>
    </xf>
    <xf numFmtId="3" fontId="3" fillId="0" borderId="0" xfId="0" applyNumberFormat="1" applyFont="1" applyFill="1" applyBorder="1" applyAlignment="1" applyProtection="1">
      <alignment horizontal="left"/>
    </xf>
    <xf numFmtId="169" fontId="3" fillId="0" borderId="0" xfId="2" applyNumberFormat="1" applyFont="1"/>
    <xf numFmtId="169" fontId="4" fillId="0" borderId="0" xfId="2" applyNumberFormat="1" applyFont="1"/>
    <xf numFmtId="2" fontId="3" fillId="0" borderId="0" xfId="2" applyNumberFormat="1" applyFont="1"/>
    <xf numFmtId="173" fontId="3" fillId="0" borderId="0" xfId="2" applyNumberFormat="1" applyFont="1"/>
    <xf numFmtId="1" fontId="3" fillId="0" borderId="0" xfId="2" applyNumberFormat="1" applyFont="1"/>
    <xf numFmtId="0" fontId="3" fillId="0" borderId="0" xfId="0" applyFont="1" applyBorder="1"/>
    <xf numFmtId="0" fontId="3" fillId="5" borderId="1" xfId="0" applyFont="1" applyFill="1" applyBorder="1" applyAlignment="1">
      <alignment vertical="top" wrapText="1"/>
    </xf>
    <xf numFmtId="164" fontId="8" fillId="0" borderId="1" xfId="2" applyNumberFormat="1" applyFont="1" applyBorder="1" applyAlignment="1">
      <alignment vertical="center"/>
    </xf>
    <xf numFmtId="4" fontId="4" fillId="0" borderId="1" xfId="0" applyNumberFormat="1" applyFont="1" applyBorder="1"/>
    <xf numFmtId="0" fontId="9" fillId="0" borderId="0" xfId="0" applyFont="1"/>
    <xf numFmtId="4" fontId="4" fillId="0" borderId="0" xfId="0" applyNumberFormat="1" applyFont="1"/>
    <xf numFmtId="0" fontId="4" fillId="0" borderId="0" xfId="0" applyFont="1" applyFill="1" applyBorder="1"/>
    <xf numFmtId="0" fontId="3" fillId="0" borderId="0" xfId="0" applyFont="1" applyFill="1" applyBorder="1"/>
    <xf numFmtId="44" fontId="4" fillId="0" borderId="0" xfId="1" applyFont="1"/>
    <xf numFmtId="44" fontId="3" fillId="0" borderId="0" xfId="1" applyFont="1"/>
    <xf numFmtId="10" fontId="4" fillId="0" borderId="1" xfId="0" applyNumberFormat="1" applyFont="1" applyBorder="1"/>
    <xf numFmtId="2" fontId="3" fillId="0" borderId="1" xfId="1" applyNumberFormat="1" applyFont="1" applyBorder="1"/>
    <xf numFmtId="0" fontId="4" fillId="0" borderId="0" xfId="0" applyFont="1" applyFill="1" applyBorder="1" applyAlignment="1"/>
    <xf numFmtId="167" fontId="4" fillId="0" borderId="0" xfId="0" applyNumberFormat="1" applyFont="1" applyFill="1" applyBorder="1" applyAlignment="1"/>
    <xf numFmtId="4" fontId="4" fillId="0" borderId="0" xfId="0" applyNumberFormat="1" applyFont="1" applyFill="1" applyBorder="1" applyAlignment="1"/>
    <xf numFmtId="0" fontId="3" fillId="0" borderId="0" xfId="0" applyFont="1" applyFill="1" applyBorder="1" applyAlignment="1"/>
    <xf numFmtId="167" fontId="3" fillId="0" borderId="0" xfId="0" applyNumberFormat="1" applyFont="1" applyFill="1" applyBorder="1" applyAlignment="1"/>
    <xf numFmtId="4" fontId="3" fillId="0" borderId="0" xfId="0" applyNumberFormat="1" applyFont="1" applyFill="1" applyBorder="1" applyAlignment="1"/>
    <xf numFmtId="14" fontId="4" fillId="0" borderId="0" xfId="0" applyNumberFormat="1" applyFont="1" applyFill="1" applyBorder="1" applyAlignment="1"/>
    <xf numFmtId="167" fontId="5" fillId="0" borderId="0" xfId="0" applyNumberFormat="1" applyFont="1" applyFill="1" applyBorder="1" applyAlignment="1">
      <alignment horizontal="center"/>
    </xf>
    <xf numFmtId="0" fontId="10" fillId="0" borderId="0" xfId="0" applyFont="1" applyFill="1" applyBorder="1" applyAlignment="1">
      <alignment vertical="top"/>
    </xf>
    <xf numFmtId="0" fontId="11" fillId="0" borderId="0" xfId="0" applyNumberFormat="1" applyFont="1" applyFill="1" applyBorder="1" applyAlignment="1">
      <alignment horizontal="center" vertical="top"/>
    </xf>
    <xf numFmtId="0" fontId="5" fillId="0" borderId="0" xfId="0" applyFont="1" applyFill="1" applyBorder="1" applyAlignment="1">
      <alignment vertical="top"/>
    </xf>
    <xf numFmtId="167" fontId="5" fillId="0" borderId="0" xfId="0" applyNumberFormat="1" applyFont="1" applyFill="1" applyBorder="1" applyAlignment="1">
      <alignment vertical="top"/>
    </xf>
    <xf numFmtId="4" fontId="11" fillId="0" borderId="0" xfId="0" applyNumberFormat="1" applyFont="1" applyFill="1" applyBorder="1" applyAlignment="1">
      <alignment horizontal="center" vertical="top"/>
    </xf>
    <xf numFmtId="1" fontId="10" fillId="0" borderId="0" xfId="0" applyNumberFormat="1" applyFont="1" applyFill="1" applyBorder="1" applyAlignment="1">
      <alignment horizontal="center" vertical="top"/>
    </xf>
    <xf numFmtId="9" fontId="10" fillId="0" borderId="0" xfId="3" applyFont="1" applyFill="1" applyBorder="1" applyAlignment="1">
      <alignment horizontal="center" vertical="top"/>
    </xf>
    <xf numFmtId="167" fontId="12" fillId="0" borderId="0" xfId="0" applyNumberFormat="1" applyFont="1" applyFill="1" applyBorder="1" applyAlignment="1">
      <alignment vertical="top"/>
    </xf>
    <xf numFmtId="168" fontId="12" fillId="0" borderId="0" xfId="0" applyNumberFormat="1" applyFont="1" applyFill="1" applyBorder="1" applyAlignment="1">
      <alignment horizontal="right" vertical="top"/>
    </xf>
    <xf numFmtId="167" fontId="12" fillId="0" borderId="0" xfId="0" applyNumberFormat="1" applyFont="1" applyFill="1" applyBorder="1" applyAlignment="1">
      <alignment horizontal="right" vertical="top"/>
    </xf>
    <xf numFmtId="168" fontId="12" fillId="0" borderId="0" xfId="0" applyNumberFormat="1" applyFont="1" applyFill="1" applyBorder="1" applyAlignment="1">
      <alignment horizontal="center"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4" fontId="12" fillId="0" borderId="0" xfId="0" applyNumberFormat="1" applyFont="1" applyFill="1" applyBorder="1" applyAlignment="1">
      <alignment vertical="top"/>
    </xf>
    <xf numFmtId="4" fontId="12" fillId="0" borderId="0" xfId="0" applyNumberFormat="1" applyFont="1" applyFill="1" applyBorder="1" applyAlignment="1" applyProtection="1">
      <alignment vertical="top"/>
      <protection locked="0"/>
    </xf>
    <xf numFmtId="9" fontId="12" fillId="0" borderId="0" xfId="3" applyFont="1" applyFill="1" applyBorder="1" applyAlignment="1">
      <alignment vertical="top"/>
    </xf>
    <xf numFmtId="167" fontId="12" fillId="0" borderId="0" xfId="0" applyNumberFormat="1" applyFont="1" applyFill="1" applyBorder="1" applyAlignment="1">
      <alignment horizontal="center" vertical="center"/>
    </xf>
    <xf numFmtId="168" fontId="12"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12" fillId="0" borderId="0" xfId="0" applyNumberFormat="1" applyFont="1" applyFill="1" applyBorder="1" applyAlignment="1" applyProtection="1">
      <alignment horizontal="center" vertical="center"/>
      <protection locked="0"/>
    </xf>
    <xf numFmtId="168" fontId="13" fillId="0" borderId="0" xfId="0" applyNumberFormat="1" applyFont="1" applyFill="1" applyBorder="1" applyAlignment="1">
      <alignment horizontal="right" vertical="top"/>
    </xf>
    <xf numFmtId="168" fontId="13" fillId="0" borderId="0" xfId="0" applyNumberFormat="1" applyFont="1" applyFill="1" applyBorder="1" applyAlignment="1">
      <alignment horizontal="left" vertical="top"/>
    </xf>
    <xf numFmtId="0" fontId="3" fillId="0" borderId="0" xfId="0" applyFont="1" applyFill="1" applyBorder="1" applyAlignment="1">
      <alignment vertical="top"/>
    </xf>
    <xf numFmtId="0" fontId="13" fillId="0" borderId="0" xfId="0" applyNumberFormat="1" applyFont="1" applyFill="1" applyBorder="1" applyAlignment="1">
      <alignment horizontal="right" vertical="top"/>
    </xf>
    <xf numFmtId="4" fontId="3" fillId="0" borderId="0" xfId="0" applyNumberFormat="1" applyFont="1" applyFill="1" applyBorder="1" applyAlignment="1" applyProtection="1">
      <protection locked="0"/>
    </xf>
    <xf numFmtId="167" fontId="10" fillId="0" borderId="0" xfId="0" applyNumberFormat="1" applyFont="1" applyFill="1" applyBorder="1" applyAlignment="1">
      <alignment vertical="top"/>
    </xf>
    <xf numFmtId="168" fontId="10" fillId="0" borderId="0" xfId="0" applyNumberFormat="1" applyFont="1" applyFill="1" applyBorder="1" applyAlignment="1">
      <alignment horizontal="right" vertical="top"/>
    </xf>
    <xf numFmtId="168" fontId="14" fillId="0" borderId="0" xfId="0" applyNumberFormat="1" applyFont="1" applyFill="1" applyBorder="1" applyAlignment="1">
      <alignment horizontal="left" vertical="top"/>
    </xf>
    <xf numFmtId="4" fontId="10" fillId="0" borderId="0" xfId="0" applyNumberFormat="1" applyFont="1" applyFill="1" applyBorder="1" applyAlignment="1">
      <alignment vertical="top"/>
    </xf>
    <xf numFmtId="4" fontId="10" fillId="0" borderId="0" xfId="0" applyNumberFormat="1" applyFont="1" applyFill="1" applyBorder="1" applyAlignment="1" applyProtection="1">
      <alignment vertical="top"/>
      <protection locked="0"/>
    </xf>
    <xf numFmtId="3" fontId="10" fillId="0" borderId="0" xfId="0" applyNumberFormat="1" applyFont="1" applyFill="1" applyBorder="1" applyAlignment="1">
      <alignment vertical="top"/>
    </xf>
    <xf numFmtId="0" fontId="15" fillId="0" borderId="0" xfId="0" applyFont="1"/>
  </cellXfs>
  <cellStyles count="4">
    <cellStyle name="Euro" xfId="1" xr:uid="{00000000-0005-0000-0000-000000000000}"/>
    <cellStyle name="Komma" xfId="2" builtinId="3"/>
    <cellStyle name="Procent" xfId="3" builtinId="5"/>
    <cellStyle name="Standaard" xfId="0" builtinId="0"/>
  </cellStyles>
  <dxfs count="1">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F20" sqref="F20"/>
    </sheetView>
  </sheetViews>
  <sheetFormatPr defaultRowHeight="15" x14ac:dyDescent="0.25"/>
  <cols>
    <col min="1" max="16384" width="9.140625" style="1"/>
  </cols>
  <sheetData>
    <row r="1" spans="1:1" ht="18.75" x14ac:dyDescent="0.3">
      <c r="A1" s="154" t="s">
        <v>119</v>
      </c>
    </row>
    <row r="3" spans="1:1" x14ac:dyDescent="0.25">
      <c r="A3" s="1" t="s">
        <v>33</v>
      </c>
    </row>
    <row r="5" spans="1:1" x14ac:dyDescent="0.25">
      <c r="A5" s="1" t="s">
        <v>32</v>
      </c>
    </row>
    <row r="6" spans="1:1" x14ac:dyDescent="0.25">
      <c r="A6" s="1" t="s">
        <v>31</v>
      </c>
    </row>
    <row r="7" spans="1:1" x14ac:dyDescent="0.25">
      <c r="A7" s="1" t="s">
        <v>34</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
  <sheetViews>
    <sheetView tabSelected="1" view="pageBreakPreview" zoomScaleNormal="100" zoomScaleSheetLayoutView="100" workbookViewId="0">
      <selection sqref="A1:XFD1048576"/>
    </sheetView>
  </sheetViews>
  <sheetFormatPr defaultRowHeight="15" x14ac:dyDescent="0.25"/>
  <cols>
    <col min="1" max="4" width="20.7109375" style="1" customWidth="1"/>
    <col min="5" max="5" width="22.28515625" style="1" customWidth="1"/>
    <col min="6" max="6" width="20.7109375" style="1" customWidth="1"/>
    <col min="7" max="7" width="22" style="1" customWidth="1"/>
    <col min="8" max="8" width="20.7109375" style="1" customWidth="1"/>
    <col min="9" max="9" width="22" style="1" customWidth="1"/>
    <col min="10" max="10" width="20.7109375" style="1" customWidth="1"/>
    <col min="11" max="11" width="22" style="1" customWidth="1"/>
    <col min="12" max="12" width="20.7109375" style="1" customWidth="1"/>
    <col min="13" max="13" width="16.42578125" style="1" customWidth="1"/>
    <col min="14" max="28" width="13.140625" style="1" bestFit="1" customWidth="1"/>
    <col min="29" max="29" width="16.5703125" style="1" customWidth="1"/>
    <col min="30" max="59" width="9.140625" style="1"/>
    <col min="60" max="60" width="12.85546875" style="1" bestFit="1" customWidth="1"/>
    <col min="61" max="16384" width="9.140625" style="1"/>
  </cols>
  <sheetData>
    <row r="1" spans="1:12" x14ac:dyDescent="0.25">
      <c r="A1" s="2" t="s">
        <v>26</v>
      </c>
      <c r="B1" s="2" t="s">
        <v>29</v>
      </c>
      <c r="C1" s="2"/>
      <c r="D1" s="2"/>
      <c r="E1" s="2"/>
    </row>
    <row r="2" spans="1:12" x14ac:dyDescent="0.25">
      <c r="A2" s="2"/>
      <c r="B2" s="2"/>
      <c r="C2" s="2"/>
      <c r="D2" s="2"/>
      <c r="E2" s="2"/>
    </row>
    <row r="3" spans="1:12" s="7" customFormat="1" ht="30" customHeight="1" x14ac:dyDescent="0.25">
      <c r="A3" s="3" t="s">
        <v>7</v>
      </c>
      <c r="B3" s="4"/>
      <c r="C3" s="5" t="s">
        <v>3</v>
      </c>
      <c r="D3" s="5" t="s">
        <v>2</v>
      </c>
      <c r="E3" s="5" t="s">
        <v>19</v>
      </c>
      <c r="F3" s="5" t="s">
        <v>8</v>
      </c>
      <c r="G3" s="5" t="s">
        <v>12</v>
      </c>
      <c r="H3" s="5" t="s">
        <v>1</v>
      </c>
      <c r="I3" s="5" t="s">
        <v>13</v>
      </c>
      <c r="J3" s="5" t="s">
        <v>4</v>
      </c>
      <c r="K3" s="5" t="s">
        <v>20</v>
      </c>
      <c r="L3" s="6" t="s">
        <v>9</v>
      </c>
    </row>
    <row r="4" spans="1:12" x14ac:dyDescent="0.25">
      <c r="A4" s="8" t="s">
        <v>30</v>
      </c>
      <c r="B4" s="9">
        <v>2021</v>
      </c>
      <c r="C4" s="10">
        <v>0.04</v>
      </c>
      <c r="D4" s="8"/>
      <c r="E4" s="8"/>
      <c r="F4" s="11"/>
      <c r="G4" s="11"/>
      <c r="H4" s="11"/>
      <c r="I4" s="11"/>
      <c r="J4" s="11"/>
      <c r="K4" s="11"/>
      <c r="L4" s="11"/>
    </row>
    <row r="5" spans="1:12" x14ac:dyDescent="0.25">
      <c r="A5" s="12">
        <f>$B$4+B5</f>
        <v>2021</v>
      </c>
      <c r="B5" s="8">
        <v>0</v>
      </c>
      <c r="C5" s="13">
        <f>POWER((1+C$4),B5)</f>
        <v>1</v>
      </c>
      <c r="D5" s="14">
        <f>Investeringen!D38</f>
        <v>1841470</v>
      </c>
      <c r="E5" s="14">
        <f>D5/C5</f>
        <v>1841470</v>
      </c>
      <c r="F5" s="15">
        <f>Exploitatiekosten!C7</f>
        <v>0</v>
      </c>
      <c r="G5" s="15">
        <f t="shared" ref="G5:G19" si="0">F5/C5</f>
        <v>0</v>
      </c>
      <c r="H5" s="15">
        <f>Inkomsten!C8</f>
        <v>0</v>
      </c>
      <c r="I5" s="15">
        <f t="shared" ref="I5:I19" si="1">H5/C5</f>
        <v>0</v>
      </c>
      <c r="J5" s="14"/>
      <c r="K5" s="14"/>
      <c r="L5" s="14">
        <f t="shared" ref="L5:L11" si="2">H5+J5-D5-F5</f>
        <v>-1841470</v>
      </c>
    </row>
    <row r="6" spans="1:12" x14ac:dyDescent="0.25">
      <c r="A6" s="12">
        <f t="shared" ref="A6:A19" si="3">$B$4+B6</f>
        <v>2022</v>
      </c>
      <c r="B6" s="8">
        <v>1</v>
      </c>
      <c r="C6" s="13">
        <f>POWER((1+C$4),B6)</f>
        <v>1.04</v>
      </c>
      <c r="D6" s="14">
        <f>Investeringen!E38</f>
        <v>545098.49066666677</v>
      </c>
      <c r="E6" s="14">
        <f t="shared" ref="E6:E18" si="4">D6/C6</f>
        <v>524133.16410256416</v>
      </c>
      <c r="F6" s="15">
        <f>Exploitatiekosten!D7</f>
        <v>0</v>
      </c>
      <c r="G6" s="15">
        <f t="shared" si="0"/>
        <v>0</v>
      </c>
      <c r="H6" s="15">
        <f>Inkomsten!D8</f>
        <v>0</v>
      </c>
      <c r="I6" s="15">
        <f t="shared" si="1"/>
        <v>0</v>
      </c>
      <c r="J6" s="14"/>
      <c r="K6" s="14"/>
      <c r="L6" s="14">
        <f t="shared" si="2"/>
        <v>-545098.49066666677</v>
      </c>
    </row>
    <row r="7" spans="1:12" x14ac:dyDescent="0.25">
      <c r="A7" s="12">
        <f t="shared" si="3"/>
        <v>2023</v>
      </c>
      <c r="B7" s="8">
        <v>2</v>
      </c>
      <c r="C7" s="13">
        <f t="shared" ref="C7:C19" si="5">POWER((1+C$4),B7)</f>
        <v>1.0816000000000001</v>
      </c>
      <c r="D7" s="14">
        <f>Investeringen!F38</f>
        <v>2039595.9746666667</v>
      </c>
      <c r="E7" s="14">
        <f t="shared" si="4"/>
        <v>1885721.130424063</v>
      </c>
      <c r="F7" s="15">
        <f>Exploitatiekosten!E7</f>
        <v>0</v>
      </c>
      <c r="G7" s="15">
        <f t="shared" si="0"/>
        <v>0</v>
      </c>
      <c r="H7" s="15">
        <f>Inkomsten!E8</f>
        <v>0</v>
      </c>
      <c r="I7" s="15">
        <f t="shared" si="1"/>
        <v>0</v>
      </c>
      <c r="J7" s="14"/>
      <c r="K7" s="14"/>
      <c r="L7" s="14">
        <f t="shared" si="2"/>
        <v>-2039595.9746666667</v>
      </c>
    </row>
    <row r="8" spans="1:12" x14ac:dyDescent="0.25">
      <c r="A8" s="12">
        <f t="shared" si="3"/>
        <v>2024</v>
      </c>
      <c r="B8" s="8">
        <v>3</v>
      </c>
      <c r="C8" s="13">
        <f t="shared" si="5"/>
        <v>1.1248640000000001</v>
      </c>
      <c r="D8" s="14">
        <f>Investeringen!G38</f>
        <v>3792118.6546666669</v>
      </c>
      <c r="E8" s="14">
        <f t="shared" si="4"/>
        <v>3371179.6756467153</v>
      </c>
      <c r="F8" s="15">
        <f>Exploitatiekosten!F7</f>
        <v>240000</v>
      </c>
      <c r="G8" s="15">
        <f t="shared" si="0"/>
        <v>213359.12608101955</v>
      </c>
      <c r="H8" s="15">
        <f>Inkomsten!F8</f>
        <v>85000</v>
      </c>
      <c r="I8" s="15">
        <f t="shared" si="1"/>
        <v>75564.690487027765</v>
      </c>
      <c r="J8" s="14"/>
      <c r="K8" s="14"/>
      <c r="L8" s="14">
        <f t="shared" si="2"/>
        <v>-3947118.6546666669</v>
      </c>
    </row>
    <row r="9" spans="1:12" x14ac:dyDescent="0.25">
      <c r="A9" s="12">
        <f t="shared" si="3"/>
        <v>2025</v>
      </c>
      <c r="B9" s="8">
        <v>4</v>
      </c>
      <c r="C9" s="13">
        <f t="shared" si="5"/>
        <v>1.1698585600000002</v>
      </c>
      <c r="D9" s="14">
        <f>Investeringen!H38</f>
        <v>158042.56</v>
      </c>
      <c r="E9" s="14">
        <f t="shared" si="4"/>
        <v>135095.44264906688</v>
      </c>
      <c r="F9" s="15">
        <f>Exploitatiekosten!G7</f>
        <v>505225.6</v>
      </c>
      <c r="G9" s="15">
        <f t="shared" si="0"/>
        <v>431868.96029550774</v>
      </c>
      <c r="H9" s="15">
        <f>Inkomsten!G8</f>
        <v>521825</v>
      </c>
      <c r="I9" s="15">
        <f t="shared" si="1"/>
        <v>446058.19698408659</v>
      </c>
      <c r="J9" s="14"/>
      <c r="K9" s="14"/>
      <c r="L9" s="14">
        <f>H9+J9-D9-F9</f>
        <v>-141443.15999999997</v>
      </c>
    </row>
    <row r="10" spans="1:12" x14ac:dyDescent="0.25">
      <c r="A10" s="12">
        <f t="shared" si="3"/>
        <v>2026</v>
      </c>
      <c r="B10" s="8">
        <v>5</v>
      </c>
      <c r="C10" s="13">
        <f t="shared" si="5"/>
        <v>1.2166529024000003</v>
      </c>
      <c r="D10" s="14">
        <f>Investeringen!I38</f>
        <v>162090.2928</v>
      </c>
      <c r="E10" s="14">
        <f t="shared" si="4"/>
        <v>133226.40539488016</v>
      </c>
      <c r="F10" s="15">
        <f>Exploitatiekosten!H7</f>
        <v>505225.6</v>
      </c>
      <c r="G10" s="15">
        <f t="shared" si="0"/>
        <v>415258.61566875741</v>
      </c>
      <c r="H10" s="15">
        <f>Inkomsten!H8</f>
        <v>521825</v>
      </c>
      <c r="I10" s="15">
        <f t="shared" si="1"/>
        <v>428902.11248469859</v>
      </c>
      <c r="J10" s="14"/>
      <c r="K10" s="14"/>
      <c r="L10" s="14">
        <f t="shared" si="2"/>
        <v>-145490.89279999997</v>
      </c>
    </row>
    <row r="11" spans="1:12" x14ac:dyDescent="0.25">
      <c r="A11" s="12">
        <f t="shared" si="3"/>
        <v>2027</v>
      </c>
      <c r="B11" s="8">
        <v>6</v>
      </c>
      <c r="C11" s="13">
        <f t="shared" si="5"/>
        <v>1.2653190184960004</v>
      </c>
      <c r="D11" s="14">
        <f>Investeringen!J38</f>
        <v>166254.45551999999</v>
      </c>
      <c r="E11" s="14">
        <f t="shared" si="4"/>
        <v>131393.31116481239</v>
      </c>
      <c r="F11" s="15">
        <f>Exploitatiekosten!I7</f>
        <v>505225.6</v>
      </c>
      <c r="G11" s="15">
        <f t="shared" si="0"/>
        <v>399287.13045072829</v>
      </c>
      <c r="H11" s="15">
        <f>Inkomsten!I8</f>
        <v>521825</v>
      </c>
      <c r="I11" s="15">
        <f t="shared" si="1"/>
        <v>412405.87738913327</v>
      </c>
      <c r="J11" s="14"/>
      <c r="K11" s="14"/>
      <c r="L11" s="14">
        <f t="shared" si="2"/>
        <v>-149655.05551999994</v>
      </c>
    </row>
    <row r="12" spans="1:12" x14ac:dyDescent="0.25">
      <c r="A12" s="12">
        <f t="shared" si="3"/>
        <v>2028</v>
      </c>
      <c r="B12" s="8">
        <v>7</v>
      </c>
      <c r="C12" s="13">
        <f t="shared" si="5"/>
        <v>1.3159317792358403</v>
      </c>
      <c r="D12" s="14">
        <f>Investeringen!K38</f>
        <v>170538.79576895997</v>
      </c>
      <c r="E12" s="14">
        <f t="shared" si="4"/>
        <v>129595.46874686134</v>
      </c>
      <c r="F12" s="15">
        <f>Exploitatiekosten!J7</f>
        <v>505225.6</v>
      </c>
      <c r="G12" s="15">
        <f t="shared" si="0"/>
        <v>383929.93312570034</v>
      </c>
      <c r="H12" s="15">
        <f>Inkomsten!J8</f>
        <v>521825</v>
      </c>
      <c r="I12" s="15">
        <f t="shared" si="1"/>
        <v>396544.11287416663</v>
      </c>
      <c r="J12" s="14"/>
      <c r="K12" s="14"/>
      <c r="L12" s="14">
        <f t="shared" ref="L12:L15" si="6">H12+J12-D11-F12</f>
        <v>-149655.05551999994</v>
      </c>
    </row>
    <row r="13" spans="1:12" x14ac:dyDescent="0.25">
      <c r="A13" s="12">
        <f t="shared" si="3"/>
        <v>2029</v>
      </c>
      <c r="B13" s="8">
        <v>8</v>
      </c>
      <c r="C13" s="13">
        <f t="shared" si="5"/>
        <v>1.3685690504052741</v>
      </c>
      <c r="D13" s="14">
        <f>Investeringen!L38</f>
        <v>174947.19286844161</v>
      </c>
      <c r="E13" s="14">
        <f t="shared" si="4"/>
        <v>127832.20022156319</v>
      </c>
      <c r="F13" s="15">
        <f>Exploitatiekosten!K7</f>
        <v>505225.6</v>
      </c>
      <c r="G13" s="15">
        <f t="shared" si="0"/>
        <v>369163.39723625022</v>
      </c>
      <c r="H13" s="15">
        <f>Inkomsten!K8</f>
        <v>521825</v>
      </c>
      <c r="I13" s="15">
        <f t="shared" si="1"/>
        <v>381292.41622516018</v>
      </c>
      <c r="J13" s="14"/>
      <c r="K13" s="14"/>
      <c r="L13" s="14">
        <f t="shared" si="6"/>
        <v>-153939.39576895995</v>
      </c>
    </row>
    <row r="14" spans="1:12" x14ac:dyDescent="0.25">
      <c r="A14" s="12">
        <f t="shared" si="3"/>
        <v>2030</v>
      </c>
      <c r="B14" s="8">
        <v>9</v>
      </c>
      <c r="C14" s="13">
        <f t="shared" si="5"/>
        <v>1.4233118124214852</v>
      </c>
      <c r="D14" s="14">
        <f>Investeringen!M38</f>
        <v>179483.66275727691</v>
      </c>
      <c r="E14" s="14">
        <f t="shared" si="4"/>
        <v>126102.8407063669</v>
      </c>
      <c r="F14" s="15">
        <f>Exploitatiekosten!L7</f>
        <v>505225.6</v>
      </c>
      <c r="G14" s="15">
        <f t="shared" si="0"/>
        <v>354964.80503485596</v>
      </c>
      <c r="H14" s="15">
        <f>Inkomsten!L8</f>
        <v>521825</v>
      </c>
      <c r="I14" s="15">
        <f t="shared" si="1"/>
        <v>366627.32329342322</v>
      </c>
      <c r="J14" s="14"/>
      <c r="K14" s="14"/>
      <c r="L14" s="14">
        <f t="shared" si="6"/>
        <v>-158347.79286844155</v>
      </c>
    </row>
    <row r="15" spans="1:12" x14ac:dyDescent="0.25">
      <c r="A15" s="12">
        <f t="shared" si="3"/>
        <v>2031</v>
      </c>
      <c r="B15" s="8">
        <v>10</v>
      </c>
      <c r="C15" s="13">
        <f t="shared" si="5"/>
        <v>1.4802442849183446</v>
      </c>
      <c r="D15" s="14">
        <f>Investeringen!N38</f>
        <v>184152.36308514763</v>
      </c>
      <c r="E15" s="14">
        <f t="shared" si="4"/>
        <v>124406.73810492443</v>
      </c>
      <c r="F15" s="15">
        <f>Exploitatiekosten!M7</f>
        <v>505225.6</v>
      </c>
      <c r="G15" s="15">
        <f t="shared" si="0"/>
        <v>341312.31253351533</v>
      </c>
      <c r="H15" s="15">
        <f>Inkomsten!M8</f>
        <v>521825</v>
      </c>
      <c r="I15" s="15">
        <f t="shared" si="1"/>
        <v>352526.27239752235</v>
      </c>
      <c r="J15" s="14"/>
      <c r="K15" s="14"/>
      <c r="L15" s="14">
        <f t="shared" si="6"/>
        <v>-162884.26275727688</v>
      </c>
    </row>
    <row r="16" spans="1:12" x14ac:dyDescent="0.25">
      <c r="A16" s="12">
        <f t="shared" si="3"/>
        <v>2032</v>
      </c>
      <c r="B16" s="8">
        <v>11</v>
      </c>
      <c r="C16" s="13">
        <f t="shared" si="5"/>
        <v>1.5394540563150783</v>
      </c>
      <c r="D16" s="14">
        <f>Investeringen!O38</f>
        <v>188957.59850248476</v>
      </c>
      <c r="E16" s="14">
        <f t="shared" si="4"/>
        <v>122743.25286120201</v>
      </c>
      <c r="F16" s="15">
        <f>Exploitatiekosten!N7</f>
        <v>505225.6</v>
      </c>
      <c r="G16" s="15">
        <f t="shared" si="0"/>
        <v>328184.91589761095</v>
      </c>
      <c r="H16" s="15">
        <f>Inkomsten!N8</f>
        <v>521825</v>
      </c>
      <c r="I16" s="15">
        <f t="shared" si="1"/>
        <v>338967.56961300224</v>
      </c>
      <c r="J16" s="14"/>
      <c r="K16" s="14"/>
      <c r="L16" s="14">
        <f t="shared" ref="L16" si="7">H16+J16-D16-F16</f>
        <v>-172358.19850248471</v>
      </c>
    </row>
    <row r="17" spans="1:12" x14ac:dyDescent="0.25">
      <c r="A17" s="12">
        <f t="shared" si="3"/>
        <v>2033</v>
      </c>
      <c r="B17" s="8">
        <v>12</v>
      </c>
      <c r="C17" s="13">
        <f t="shared" si="5"/>
        <v>1.6010322185676817</v>
      </c>
      <c r="D17" s="14">
        <f>Investeringen!P38</f>
        <v>193903.82615439399</v>
      </c>
      <c r="E17" s="14">
        <f t="shared" si="4"/>
        <v>121111.75771832035</v>
      </c>
      <c r="F17" s="15">
        <f>Exploitatiekosten!O7</f>
        <v>505225.6</v>
      </c>
      <c r="G17" s="15">
        <f t="shared" si="0"/>
        <v>315562.41913231811</v>
      </c>
      <c r="H17" s="15">
        <f>Inkomsten!O8</f>
        <v>521825</v>
      </c>
      <c r="I17" s="15">
        <f t="shared" si="1"/>
        <v>325930.3553971175</v>
      </c>
      <c r="J17" s="14"/>
      <c r="K17" s="14"/>
      <c r="L17" s="14">
        <f>H17+J17-D17-F17</f>
        <v>-177304.42615439394</v>
      </c>
    </row>
    <row r="18" spans="1:12" x14ac:dyDescent="0.25">
      <c r="A18" s="12">
        <f t="shared" si="3"/>
        <v>2034</v>
      </c>
      <c r="B18" s="8">
        <v>13</v>
      </c>
      <c r="C18" s="13">
        <f t="shared" si="5"/>
        <v>1.6650735073103891</v>
      </c>
      <c r="D18" s="14">
        <f>Investeringen!Q38</f>
        <v>198995.6613866158</v>
      </c>
      <c r="E18" s="14">
        <f t="shared" si="4"/>
        <v>119511.63748203262</v>
      </c>
      <c r="F18" s="15">
        <f>Exploitatiekosten!P7</f>
        <v>505225.6</v>
      </c>
      <c r="G18" s="15">
        <f t="shared" si="0"/>
        <v>303425.40301184438</v>
      </c>
      <c r="H18" s="15">
        <f>Inkomsten!P8</f>
        <v>521825</v>
      </c>
      <c r="I18" s="15">
        <f t="shared" si="1"/>
        <v>313394.57249722834</v>
      </c>
      <c r="J18" s="14"/>
      <c r="K18" s="14"/>
      <c r="L18" s="14">
        <f>H18+J18-D18-F18</f>
        <v>-182396.26138661581</v>
      </c>
    </row>
    <row r="19" spans="1:12" x14ac:dyDescent="0.25">
      <c r="A19" s="12">
        <f t="shared" si="3"/>
        <v>2035</v>
      </c>
      <c r="B19" s="8">
        <v>14</v>
      </c>
      <c r="C19" s="13">
        <f t="shared" si="5"/>
        <v>1.7316764476028046</v>
      </c>
      <c r="D19" s="14">
        <f>Investeringen!R38</f>
        <v>204237.88367184738</v>
      </c>
      <c r="E19" s="14">
        <f>D19/C19</f>
        <v>117942.2887887504</v>
      </c>
      <c r="F19" s="15">
        <f>Exploitatiekosten!Q7</f>
        <v>505225.6</v>
      </c>
      <c r="G19" s="15">
        <f t="shared" si="0"/>
        <v>291755.19520369649</v>
      </c>
      <c r="H19" s="15">
        <f>Inkomsten!Q8</f>
        <v>521825</v>
      </c>
      <c r="I19" s="15">
        <f t="shared" si="1"/>
        <v>301340.93509348878</v>
      </c>
      <c r="J19" s="14">
        <f>Restwaarde!H34-Restwaarde!F34-Restwaarde!D34</f>
        <v>-10494865.470302463</v>
      </c>
      <c r="K19" s="14">
        <f>Restwaarde!I34-Restwaarde!G34-Restwaarde!E34</f>
        <v>-3118142.2452124502</v>
      </c>
      <c r="L19" s="14">
        <f>H19+J19-D18-F19</f>
        <v>-10677261.731689079</v>
      </c>
    </row>
    <row r="20" spans="1:12" x14ac:dyDescent="0.25">
      <c r="A20" s="2"/>
      <c r="B20" s="2"/>
      <c r="C20" s="2"/>
      <c r="D20" s="2"/>
      <c r="E20" s="2"/>
    </row>
    <row r="21" spans="1:12" x14ac:dyDescent="0.25">
      <c r="A21" s="16" t="s">
        <v>0</v>
      </c>
      <c r="B21" s="8"/>
      <c r="C21" s="8"/>
      <c r="D21" s="17">
        <f>SUM(D5:D19)</f>
        <v>10199887.412515169</v>
      </c>
      <c r="E21" s="17">
        <f t="shared" ref="E21:I21" si="8">SUM(E5:E19)</f>
        <v>9011465.3140121214</v>
      </c>
      <c r="F21" s="17">
        <f t="shared" si="8"/>
        <v>5797481.5999999987</v>
      </c>
      <c r="G21" s="17">
        <f t="shared" si="8"/>
        <v>4148072.2136718053</v>
      </c>
      <c r="H21" s="17">
        <f t="shared" si="8"/>
        <v>5825075</v>
      </c>
      <c r="I21" s="17">
        <f t="shared" si="8"/>
        <v>4139554.4347360553</v>
      </c>
      <c r="J21" s="17">
        <f>IF(J19&lt;0,0,J19)</f>
        <v>0</v>
      </c>
      <c r="K21" s="17">
        <f>IF(K19&lt;0,0,K19)</f>
        <v>0</v>
      </c>
      <c r="L21" s="17">
        <f>SUM(L5:L19)</f>
        <v>-20644019.352967247</v>
      </c>
    </row>
    <row r="22" spans="1:12" x14ac:dyDescent="0.25">
      <c r="A22" s="2"/>
      <c r="B22" s="2"/>
      <c r="C22" s="2"/>
      <c r="D22" s="2"/>
      <c r="E22" s="2"/>
    </row>
    <row r="23" spans="1:12" hidden="1" x14ac:dyDescent="0.25">
      <c r="A23" s="2"/>
      <c r="B23" s="2"/>
      <c r="C23" s="2"/>
      <c r="D23" s="2"/>
      <c r="E23" s="2"/>
    </row>
    <row r="24" spans="1:12" hidden="1" x14ac:dyDescent="0.25">
      <c r="A24" s="2"/>
      <c r="B24" s="2"/>
      <c r="C24" s="2"/>
      <c r="D24" s="2"/>
      <c r="E24" s="2"/>
    </row>
    <row r="25" spans="1:12" hidden="1" x14ac:dyDescent="0.25">
      <c r="A25" s="2"/>
      <c r="B25" s="2"/>
      <c r="C25" s="2"/>
      <c r="D25" s="2"/>
      <c r="E25" s="2"/>
    </row>
    <row r="26" spans="1:12" hidden="1" x14ac:dyDescent="0.25">
      <c r="A26" s="2"/>
      <c r="B26" s="2"/>
      <c r="C26" s="2"/>
      <c r="D26" s="2"/>
      <c r="E26" s="2"/>
    </row>
    <row r="27" spans="1:12" hidden="1" x14ac:dyDescent="0.25">
      <c r="A27" s="2"/>
      <c r="B27" s="2"/>
      <c r="C27" s="2"/>
      <c r="D27" s="2"/>
      <c r="E27" s="2"/>
    </row>
    <row r="28" spans="1:12" hidden="1" x14ac:dyDescent="0.25">
      <c r="A28" s="2"/>
      <c r="B28" s="2"/>
      <c r="C28" s="2"/>
      <c r="D28" s="2"/>
      <c r="E28" s="2"/>
    </row>
    <row r="29" spans="1:12" hidden="1" x14ac:dyDescent="0.25">
      <c r="A29" s="2"/>
      <c r="B29" s="2"/>
      <c r="C29" s="2"/>
      <c r="D29" s="2"/>
      <c r="E29" s="2"/>
    </row>
    <row r="30" spans="1:12" hidden="1" x14ac:dyDescent="0.25">
      <c r="A30" s="2"/>
      <c r="B30" s="2"/>
      <c r="C30" s="2"/>
      <c r="D30" s="2"/>
      <c r="E30" s="2"/>
    </row>
    <row r="31" spans="1:12" hidden="1" x14ac:dyDescent="0.25">
      <c r="A31" s="2"/>
      <c r="B31" s="2"/>
      <c r="C31" s="2"/>
      <c r="D31" s="2"/>
      <c r="E31" s="2"/>
    </row>
    <row r="32" spans="1:12" hidden="1" x14ac:dyDescent="0.25">
      <c r="A32" s="2"/>
      <c r="B32" s="2"/>
      <c r="C32" s="2"/>
      <c r="D32" s="2"/>
      <c r="E32" s="2"/>
    </row>
    <row r="33" spans="1:7" hidden="1" x14ac:dyDescent="0.25">
      <c r="A33" s="2"/>
      <c r="B33" s="2"/>
      <c r="C33" s="2"/>
      <c r="D33" s="2"/>
      <c r="E33" s="2"/>
    </row>
    <row r="34" spans="1:7" hidden="1" x14ac:dyDescent="0.25">
      <c r="A34" s="2"/>
      <c r="B34" s="2"/>
      <c r="C34" s="2"/>
      <c r="D34" s="2"/>
      <c r="E34" s="2"/>
    </row>
    <row r="35" spans="1:7" x14ac:dyDescent="0.25">
      <c r="D35" s="18"/>
      <c r="E35" s="19"/>
    </row>
    <row r="38" spans="1:7" x14ac:dyDescent="0.25">
      <c r="A38" s="2" t="s">
        <v>14</v>
      </c>
      <c r="B38" s="2"/>
      <c r="C38" s="2"/>
      <c r="D38" s="18">
        <f>D39+D40-D41</f>
        <v>27593.400000001304</v>
      </c>
      <c r="E38" s="20"/>
    </row>
    <row r="39" spans="1:7" x14ac:dyDescent="0.25">
      <c r="A39" s="1" t="s">
        <v>18</v>
      </c>
      <c r="D39" s="18">
        <f>H21</f>
        <v>5825075</v>
      </c>
      <c r="E39" s="20"/>
      <c r="F39" s="20"/>
      <c r="G39" s="20"/>
    </row>
    <row r="40" spans="1:7" x14ac:dyDescent="0.25">
      <c r="A40" s="1" t="s">
        <v>4</v>
      </c>
      <c r="D40" s="18">
        <f>J21</f>
        <v>0</v>
      </c>
      <c r="E40" s="21"/>
    </row>
    <row r="41" spans="1:7" x14ac:dyDescent="0.25">
      <c r="A41" s="1" t="s">
        <v>10</v>
      </c>
      <c r="D41" s="18">
        <f>F21</f>
        <v>5797481.5999999987</v>
      </c>
      <c r="E41" s="20"/>
      <c r="F41" s="20"/>
      <c r="G41" s="20"/>
    </row>
    <row r="43" spans="1:7" x14ac:dyDescent="0.25">
      <c r="A43" s="2" t="s">
        <v>17</v>
      </c>
      <c r="B43" s="2"/>
      <c r="C43" s="2"/>
      <c r="D43" s="18">
        <f>D44-D45</f>
        <v>9019983.0929478705</v>
      </c>
    </row>
    <row r="44" spans="1:7" x14ac:dyDescent="0.25">
      <c r="A44" s="1" t="s">
        <v>15</v>
      </c>
      <c r="D44" s="18">
        <f>E21</f>
        <v>9011465.3140121214</v>
      </c>
      <c r="E44" s="20"/>
    </row>
    <row r="45" spans="1:7" ht="15.75" customHeight="1" x14ac:dyDescent="0.25">
      <c r="A45" s="1" t="s">
        <v>16</v>
      </c>
      <c r="D45" s="18">
        <f>I21+K21-G21</f>
        <v>-8517.7789357500151</v>
      </c>
    </row>
    <row r="46" spans="1:7" ht="15.75" customHeight="1" x14ac:dyDescent="0.25"/>
    <row r="47" spans="1:7" x14ac:dyDescent="0.25">
      <c r="A47" s="2" t="s">
        <v>21</v>
      </c>
      <c r="B47" s="2"/>
      <c r="C47" s="2"/>
      <c r="D47" s="22">
        <f>D43/D44</f>
        <v>1.0009452157489309</v>
      </c>
    </row>
    <row r="48" spans="1:7" x14ac:dyDescent="0.25">
      <c r="D48" s="23"/>
      <c r="E48" s="23"/>
    </row>
    <row r="49" spans="1:9" x14ac:dyDescent="0.25">
      <c r="A49" s="2" t="s">
        <v>22</v>
      </c>
      <c r="B49" s="2"/>
      <c r="C49" s="2"/>
    </row>
    <row r="50" spans="1:9" ht="30" x14ac:dyDescent="0.25">
      <c r="A50" s="24" t="s">
        <v>23</v>
      </c>
      <c r="B50" s="25"/>
      <c r="C50" s="25"/>
      <c r="D50" s="26">
        <v>1855116</v>
      </c>
      <c r="E50" s="20" t="s">
        <v>27</v>
      </c>
      <c r="H50" s="20"/>
      <c r="I50" s="20"/>
    </row>
    <row r="51" spans="1:9" x14ac:dyDescent="0.25">
      <c r="A51" s="25" t="s">
        <v>5</v>
      </c>
      <c r="B51" s="25"/>
      <c r="C51" s="25"/>
      <c r="D51" s="22">
        <f>D47</f>
        <v>1.0009452157489309</v>
      </c>
      <c r="E51" s="22"/>
      <c r="H51" s="20"/>
      <c r="I51" s="20"/>
    </row>
    <row r="52" spans="1:9" x14ac:dyDescent="0.25">
      <c r="A52" s="25" t="s">
        <v>6</v>
      </c>
      <c r="B52" s="25"/>
      <c r="C52" s="25"/>
      <c r="D52" s="27">
        <v>0.8</v>
      </c>
      <c r="E52" s="28" t="s">
        <v>28</v>
      </c>
      <c r="H52" s="20"/>
      <c r="I52" s="20"/>
    </row>
    <row r="54" spans="1:9" x14ac:dyDescent="0.25">
      <c r="A54" s="25" t="s">
        <v>11</v>
      </c>
      <c r="B54" s="25"/>
      <c r="C54" s="25"/>
      <c r="D54" s="21">
        <f>D50*D51*D52</f>
        <v>1485495.5878874352</v>
      </c>
      <c r="E54" s="20"/>
      <c r="F54" s="29"/>
      <c r="G54" s="29"/>
    </row>
    <row r="55" spans="1:9" x14ac:dyDescent="0.25">
      <c r="H55" s="29"/>
      <c r="I55" s="29"/>
    </row>
    <row r="56" spans="1:9" x14ac:dyDescent="0.25">
      <c r="A56" s="25"/>
      <c r="B56" s="25"/>
      <c r="C56" s="25"/>
    </row>
    <row r="57" spans="1:9" x14ac:dyDescent="0.25">
      <c r="D57" s="20"/>
      <c r="E57" s="20"/>
    </row>
  </sheetData>
  <mergeCells count="1">
    <mergeCell ref="A3:B3"/>
  </mergeCells>
  <phoneticPr fontId="2" type="noConversion"/>
  <pageMargins left="0.35433070866141736" right="0.23622047244094491" top="0.23622047244094491" bottom="0.23622047244094491" header="0.19685039370078741" footer="0.15748031496062992"/>
  <pageSetup paperSize="9" scale="60" orientation="landscape" r:id="rId1"/>
  <headerFooter alignWithMargins="0"/>
  <ignoredErrors>
    <ignoredError sqref="J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87"/>
  <sheetViews>
    <sheetView view="pageBreakPreview" zoomScale="90" zoomScaleNormal="100" zoomScaleSheetLayoutView="90" workbookViewId="0">
      <selection activeCell="B3" sqref="B3"/>
    </sheetView>
  </sheetViews>
  <sheetFormatPr defaultRowHeight="15" x14ac:dyDescent="0.25"/>
  <cols>
    <col min="1" max="1" width="50.42578125" style="1" customWidth="1"/>
    <col min="2" max="2" width="38.140625" style="1" customWidth="1"/>
    <col min="3" max="3" width="20.7109375" style="76" customWidth="1"/>
    <col min="4" max="5" width="15.7109375" style="1" customWidth="1"/>
    <col min="6" max="6" width="15.7109375" style="77" customWidth="1"/>
    <col min="7" max="8" width="15.7109375" style="1" customWidth="1"/>
    <col min="9" max="9" width="15.7109375" style="77" customWidth="1"/>
    <col min="10" max="11" width="15.7109375" style="1" customWidth="1"/>
    <col min="12" max="12" width="15.7109375" style="77" customWidth="1"/>
    <col min="13" max="14" width="15.7109375" style="1" customWidth="1"/>
    <col min="15" max="15" width="15.7109375" style="77" customWidth="1"/>
    <col min="16" max="17" width="15.7109375" style="1" customWidth="1"/>
    <col min="18" max="18" width="15.7109375" style="77" customWidth="1"/>
    <col min="19" max="16384" width="9.140625" style="1"/>
  </cols>
  <sheetData>
    <row r="1" spans="1:18" s="30" customFormat="1" x14ac:dyDescent="0.25">
      <c r="B1" s="31" t="s">
        <v>24</v>
      </c>
      <c r="C1" s="32"/>
      <c r="D1" s="31" t="s">
        <v>7</v>
      </c>
      <c r="E1" s="31" t="s">
        <v>7</v>
      </c>
      <c r="F1" s="31" t="s">
        <v>7</v>
      </c>
      <c r="G1" s="31" t="s">
        <v>7</v>
      </c>
      <c r="H1" s="31" t="s">
        <v>7</v>
      </c>
      <c r="I1" s="31" t="s">
        <v>7</v>
      </c>
      <c r="J1" s="31" t="s">
        <v>7</v>
      </c>
      <c r="K1" s="31" t="s">
        <v>7</v>
      </c>
      <c r="L1" s="31" t="s">
        <v>7</v>
      </c>
      <c r="M1" s="31" t="s">
        <v>7</v>
      </c>
      <c r="N1" s="31" t="s">
        <v>7</v>
      </c>
      <c r="O1" s="31" t="s">
        <v>7</v>
      </c>
      <c r="P1" s="31" t="s">
        <v>7</v>
      </c>
      <c r="Q1" s="31" t="s">
        <v>7</v>
      </c>
      <c r="R1" s="31" t="s">
        <v>7</v>
      </c>
    </row>
    <row r="2" spans="1:18" s="36" customFormat="1" x14ac:dyDescent="0.25">
      <c r="A2" s="33"/>
      <c r="B2" s="33"/>
      <c r="C2" s="34"/>
      <c r="D2" s="35">
        <f>'Funding Gap'!A5</f>
        <v>2021</v>
      </c>
      <c r="E2" s="35">
        <f>D2+1</f>
        <v>2022</v>
      </c>
      <c r="F2" s="35">
        <f>E2+1</f>
        <v>2023</v>
      </c>
      <c r="G2" s="35">
        <f t="shared" ref="G2:R2" si="0">F2+1</f>
        <v>2024</v>
      </c>
      <c r="H2" s="35">
        <f t="shared" si="0"/>
        <v>2025</v>
      </c>
      <c r="I2" s="35">
        <f t="shared" si="0"/>
        <v>2026</v>
      </c>
      <c r="J2" s="35">
        <f t="shared" si="0"/>
        <v>2027</v>
      </c>
      <c r="K2" s="35">
        <f t="shared" si="0"/>
        <v>2028</v>
      </c>
      <c r="L2" s="35">
        <f t="shared" si="0"/>
        <v>2029</v>
      </c>
      <c r="M2" s="35">
        <f t="shared" si="0"/>
        <v>2030</v>
      </c>
      <c r="N2" s="35">
        <f t="shared" si="0"/>
        <v>2031</v>
      </c>
      <c r="O2" s="35">
        <f t="shared" si="0"/>
        <v>2032</v>
      </c>
      <c r="P2" s="35">
        <f t="shared" si="0"/>
        <v>2033</v>
      </c>
      <c r="Q2" s="35">
        <f t="shared" si="0"/>
        <v>2034</v>
      </c>
      <c r="R2" s="35">
        <f t="shared" si="0"/>
        <v>2035</v>
      </c>
    </row>
    <row r="3" spans="1:18" s="41" customFormat="1" ht="75.400000000000006" customHeight="1" x14ac:dyDescent="0.25">
      <c r="A3" s="37" t="s">
        <v>36</v>
      </c>
      <c r="B3" s="38"/>
      <c r="C3" s="39"/>
      <c r="D3" s="40"/>
      <c r="E3" s="40"/>
      <c r="F3" s="40"/>
      <c r="G3" s="40"/>
      <c r="H3" s="40"/>
      <c r="I3" s="40"/>
      <c r="J3" s="40"/>
      <c r="K3" s="40"/>
      <c r="L3" s="40"/>
      <c r="M3" s="40"/>
      <c r="N3" s="40"/>
      <c r="O3" s="40"/>
      <c r="P3" s="40"/>
      <c r="Q3" s="40"/>
      <c r="R3" s="40"/>
    </row>
    <row r="4" spans="1:18" s="46" customFormat="1" ht="15.4" customHeight="1" x14ac:dyDescent="0.25">
      <c r="A4" s="42" t="s">
        <v>25</v>
      </c>
      <c r="B4" s="43"/>
      <c r="C4" s="44">
        <f>SUM(D4:G4)</f>
        <v>5756953.9199999999</v>
      </c>
      <c r="D4" s="45">
        <f>SUM(D6:D19)</f>
        <v>1495532</v>
      </c>
      <c r="E4" s="45">
        <f t="shared" ref="E4:R4" si="1">SUM(E6:E19)</f>
        <v>329121.87733333337</v>
      </c>
      <c r="F4" s="45">
        <f t="shared" si="1"/>
        <v>1282351.1413333332</v>
      </c>
      <c r="G4" s="45">
        <f t="shared" si="1"/>
        <v>2649948.9013333339</v>
      </c>
      <c r="H4" s="45">
        <f t="shared" si="1"/>
        <v>113698.48</v>
      </c>
      <c r="I4" s="45">
        <f t="shared" si="1"/>
        <v>115972.44959999999</v>
      </c>
      <c r="J4" s="45">
        <f t="shared" si="1"/>
        <v>118291.898592</v>
      </c>
      <c r="K4" s="45">
        <f t="shared" si="1"/>
        <v>120657.73656383999</v>
      </c>
      <c r="L4" s="45">
        <f t="shared" si="1"/>
        <v>123070.8912951168</v>
      </c>
      <c r="M4" s="45">
        <f t="shared" si="1"/>
        <v>125532.30912101913</v>
      </c>
      <c r="N4" s="45">
        <f t="shared" si="1"/>
        <v>128042.95530343954</v>
      </c>
      <c r="O4" s="45">
        <f t="shared" si="1"/>
        <v>130603.81440950833</v>
      </c>
      <c r="P4" s="45">
        <f t="shared" si="1"/>
        <v>133215.89069769849</v>
      </c>
      <c r="Q4" s="45">
        <f t="shared" si="1"/>
        <v>135880.20851165248</v>
      </c>
      <c r="R4" s="45">
        <f t="shared" si="1"/>
        <v>138597.81268188552</v>
      </c>
    </row>
    <row r="5" spans="1:18" s="51" customFormat="1" x14ac:dyDescent="0.25">
      <c r="A5" s="47" t="s">
        <v>37</v>
      </c>
      <c r="B5" s="48"/>
      <c r="C5" s="49"/>
      <c r="D5" s="50"/>
      <c r="E5" s="50"/>
      <c r="F5" s="50"/>
      <c r="G5" s="50"/>
      <c r="H5" s="50"/>
      <c r="I5" s="50"/>
      <c r="J5" s="50"/>
      <c r="K5" s="50"/>
      <c r="L5" s="50"/>
      <c r="M5" s="50"/>
      <c r="N5" s="50"/>
      <c r="O5" s="50"/>
      <c r="P5" s="50"/>
      <c r="Q5" s="50"/>
      <c r="R5" s="50"/>
    </row>
    <row r="6" spans="1:18" s="55" customFormat="1" x14ac:dyDescent="0.25">
      <c r="A6" s="52" t="s">
        <v>39</v>
      </c>
      <c r="B6" s="52"/>
      <c r="C6" s="53">
        <f>1334672</f>
        <v>1334672</v>
      </c>
      <c r="D6" s="54">
        <f>C6</f>
        <v>1334672</v>
      </c>
      <c r="E6" s="54">
        <v>0</v>
      </c>
      <c r="F6" s="54">
        <v>0</v>
      </c>
      <c r="G6" s="54">
        <v>0</v>
      </c>
      <c r="H6" s="54">
        <v>0</v>
      </c>
      <c r="I6" s="54">
        <v>0</v>
      </c>
      <c r="J6" s="54">
        <v>0</v>
      </c>
      <c r="K6" s="54">
        <v>0</v>
      </c>
      <c r="L6" s="54">
        <v>0</v>
      </c>
      <c r="M6" s="54">
        <v>0</v>
      </c>
      <c r="N6" s="54">
        <v>0</v>
      </c>
      <c r="O6" s="54">
        <v>0</v>
      </c>
      <c r="P6" s="54">
        <v>0</v>
      </c>
      <c r="Q6" s="54">
        <v>0</v>
      </c>
      <c r="R6" s="54">
        <v>0</v>
      </c>
    </row>
    <row r="7" spans="1:18" s="55" customFormat="1" x14ac:dyDescent="0.25">
      <c r="A7" s="52" t="s">
        <v>38</v>
      </c>
      <c r="B7" s="52"/>
      <c r="C7" s="53">
        <v>105860</v>
      </c>
      <c r="D7" s="54">
        <f>C7</f>
        <v>105860</v>
      </c>
      <c r="E7" s="54">
        <v>0</v>
      </c>
      <c r="F7" s="54">
        <v>0</v>
      </c>
      <c r="G7" s="54">
        <v>0</v>
      </c>
      <c r="H7" s="54">
        <v>0</v>
      </c>
      <c r="I7" s="54">
        <v>0</v>
      </c>
      <c r="J7" s="54">
        <v>0</v>
      </c>
      <c r="K7" s="54">
        <v>0</v>
      </c>
      <c r="L7" s="54">
        <v>0</v>
      </c>
      <c r="M7" s="54">
        <v>0</v>
      </c>
      <c r="N7" s="54">
        <v>0</v>
      </c>
      <c r="O7" s="54">
        <v>0</v>
      </c>
      <c r="P7" s="54">
        <v>0</v>
      </c>
      <c r="Q7" s="54">
        <v>0</v>
      </c>
      <c r="R7" s="54">
        <v>0</v>
      </c>
    </row>
    <row r="8" spans="1:18" s="59" customFormat="1" x14ac:dyDescent="0.25">
      <c r="A8" s="56" t="s">
        <v>40</v>
      </c>
      <c r="B8" s="56"/>
      <c r="C8" s="57"/>
      <c r="D8" s="58"/>
      <c r="E8" s="58"/>
      <c r="F8" s="58"/>
      <c r="G8" s="58"/>
      <c r="H8" s="58"/>
      <c r="I8" s="58"/>
      <c r="J8" s="58"/>
      <c r="K8" s="58"/>
      <c r="L8" s="58"/>
      <c r="M8" s="58"/>
      <c r="N8" s="58"/>
      <c r="O8" s="58"/>
      <c r="P8" s="58"/>
      <c r="Q8" s="58"/>
      <c r="R8" s="58"/>
    </row>
    <row r="9" spans="1:18" s="55" customFormat="1" x14ac:dyDescent="0.25">
      <c r="A9" s="52" t="s">
        <v>41</v>
      </c>
      <c r="B9" s="52"/>
      <c r="C9" s="53">
        <f>37258*1.08</f>
        <v>40238.639999999999</v>
      </c>
      <c r="D9" s="54">
        <v>0</v>
      </c>
      <c r="E9" s="54">
        <v>0</v>
      </c>
      <c r="F9" s="54">
        <f>C9</f>
        <v>40238.639999999999</v>
      </c>
      <c r="G9" s="54">
        <v>0</v>
      </c>
      <c r="H9" s="54">
        <v>0</v>
      </c>
      <c r="I9" s="54">
        <v>0</v>
      </c>
      <c r="J9" s="54">
        <v>0</v>
      </c>
      <c r="K9" s="54">
        <v>0</v>
      </c>
      <c r="L9" s="54">
        <v>0</v>
      </c>
      <c r="M9" s="54">
        <v>0</v>
      </c>
      <c r="N9" s="54">
        <v>0</v>
      </c>
      <c r="O9" s="54">
        <v>0</v>
      </c>
      <c r="P9" s="54">
        <v>0</v>
      </c>
      <c r="Q9" s="54">
        <v>0</v>
      </c>
      <c r="R9" s="54">
        <v>0</v>
      </c>
    </row>
    <row r="10" spans="1:18" s="55" customFormat="1" x14ac:dyDescent="0.25">
      <c r="A10" s="52" t="s">
        <v>42</v>
      </c>
      <c r="B10" s="52"/>
      <c r="C10" s="53">
        <f>2868530*1.08</f>
        <v>3098012.4000000004</v>
      </c>
      <c r="D10" s="54">
        <v>0</v>
      </c>
      <c r="E10" s="54">
        <v>0</v>
      </c>
      <c r="F10" s="54">
        <f>825000</f>
        <v>825000</v>
      </c>
      <c r="G10" s="54">
        <f>C10-F10</f>
        <v>2273012.4000000004</v>
      </c>
      <c r="H10" s="54">
        <v>0</v>
      </c>
      <c r="I10" s="54">
        <v>0</v>
      </c>
      <c r="J10" s="54">
        <v>0</v>
      </c>
      <c r="K10" s="54">
        <v>0</v>
      </c>
      <c r="L10" s="54">
        <v>0</v>
      </c>
      <c r="M10" s="54">
        <v>0</v>
      </c>
      <c r="N10" s="54">
        <v>0</v>
      </c>
      <c r="O10" s="54">
        <v>0</v>
      </c>
      <c r="P10" s="54">
        <v>0</v>
      </c>
      <c r="Q10" s="54">
        <v>0</v>
      </c>
      <c r="R10" s="54">
        <v>0</v>
      </c>
    </row>
    <row r="11" spans="1:18" s="55" customFormat="1" x14ac:dyDescent="0.25">
      <c r="A11" s="52" t="s">
        <v>43</v>
      </c>
      <c r="B11" s="52"/>
      <c r="C11" s="53">
        <f>93000*1.08</f>
        <v>100440</v>
      </c>
      <c r="D11" s="54">
        <v>0</v>
      </c>
      <c r="E11" s="54">
        <v>0</v>
      </c>
      <c r="F11" s="54">
        <f>C11*0.7</f>
        <v>70308</v>
      </c>
      <c r="G11" s="54">
        <f>C11-F11</f>
        <v>30132</v>
      </c>
      <c r="H11" s="54">
        <v>0</v>
      </c>
      <c r="I11" s="54">
        <v>0</v>
      </c>
      <c r="J11" s="54">
        <v>0</v>
      </c>
      <c r="K11" s="54">
        <v>0</v>
      </c>
      <c r="L11" s="54">
        <v>0</v>
      </c>
      <c r="M11" s="54">
        <v>0</v>
      </c>
      <c r="N11" s="54">
        <v>0</v>
      </c>
      <c r="O11" s="54">
        <v>0</v>
      </c>
      <c r="P11" s="54">
        <v>0</v>
      </c>
      <c r="Q11" s="54">
        <v>0</v>
      </c>
      <c r="R11" s="54">
        <v>0</v>
      </c>
    </row>
    <row r="12" spans="1:18" s="64" customFormat="1" ht="120" x14ac:dyDescent="0.25">
      <c r="A12" s="60" t="s">
        <v>51</v>
      </c>
      <c r="B12" s="61" t="s">
        <v>53</v>
      </c>
      <c r="C12" s="62">
        <v>0</v>
      </c>
      <c r="D12" s="63">
        <v>0</v>
      </c>
      <c r="E12" s="63">
        <v>0</v>
      </c>
      <c r="F12" s="63">
        <v>0</v>
      </c>
      <c r="G12" s="63">
        <v>0</v>
      </c>
      <c r="H12" s="63">
        <f>(3030*1600+500000)/50</f>
        <v>106960</v>
      </c>
      <c r="I12" s="63">
        <f>H12*1.02</f>
        <v>109099.2</v>
      </c>
      <c r="J12" s="63">
        <f t="shared" ref="J12:R12" si="2">I12*1.02</f>
        <v>111281.18399999999</v>
      </c>
      <c r="K12" s="63">
        <f t="shared" si="2"/>
        <v>113506.80768</v>
      </c>
      <c r="L12" s="63">
        <f t="shared" si="2"/>
        <v>115776.9438336</v>
      </c>
      <c r="M12" s="63">
        <f t="shared" si="2"/>
        <v>118092.482710272</v>
      </c>
      <c r="N12" s="63">
        <f t="shared" si="2"/>
        <v>120454.33236447745</v>
      </c>
      <c r="O12" s="63">
        <f t="shared" si="2"/>
        <v>122863.41901176701</v>
      </c>
      <c r="P12" s="63">
        <f t="shared" si="2"/>
        <v>125320.68739200235</v>
      </c>
      <c r="Q12" s="63">
        <f t="shared" si="2"/>
        <v>127827.1011398424</v>
      </c>
      <c r="R12" s="63">
        <f t="shared" si="2"/>
        <v>130383.64316263926</v>
      </c>
    </row>
    <row r="13" spans="1:18" s="59" customFormat="1" x14ac:dyDescent="0.25">
      <c r="A13" s="56" t="s">
        <v>44</v>
      </c>
      <c r="B13" s="56"/>
      <c r="C13" s="57"/>
      <c r="D13" s="65"/>
      <c r="E13" s="65"/>
      <c r="F13" s="65"/>
      <c r="G13" s="65"/>
      <c r="H13" s="65"/>
      <c r="I13" s="65"/>
      <c r="J13" s="65"/>
      <c r="K13" s="65"/>
      <c r="L13" s="65"/>
      <c r="M13" s="65"/>
      <c r="N13" s="65"/>
      <c r="O13" s="65"/>
      <c r="P13" s="65"/>
      <c r="Q13" s="65"/>
      <c r="R13" s="65"/>
    </row>
    <row r="14" spans="1:18" s="55" customFormat="1" x14ac:dyDescent="0.25">
      <c r="A14" s="52" t="s">
        <v>45</v>
      </c>
      <c r="B14" s="52"/>
      <c r="C14" s="53">
        <f>327456*1.08</f>
        <v>353652.48000000004</v>
      </c>
      <c r="D14" s="54">
        <v>0</v>
      </c>
      <c r="E14" s="54">
        <f>C14*0.3</f>
        <v>106095.74400000001</v>
      </c>
      <c r="F14" s="54">
        <f>C14*0.35</f>
        <v>123778.368</v>
      </c>
      <c r="G14" s="54">
        <f>C14-D14-E14-F14</f>
        <v>123778.36800000003</v>
      </c>
      <c r="H14" s="54">
        <v>0</v>
      </c>
      <c r="I14" s="54">
        <v>0</v>
      </c>
      <c r="J14" s="54">
        <v>0</v>
      </c>
      <c r="K14" s="54">
        <v>0</v>
      </c>
      <c r="L14" s="54">
        <v>0</v>
      </c>
      <c r="M14" s="54">
        <v>0</v>
      </c>
      <c r="N14" s="54">
        <v>0</v>
      </c>
      <c r="O14" s="54">
        <v>0</v>
      </c>
      <c r="P14" s="54">
        <v>0</v>
      </c>
      <c r="Q14" s="54">
        <v>0</v>
      </c>
      <c r="R14" s="54">
        <v>0</v>
      </c>
    </row>
    <row r="15" spans="1:18" s="55" customFormat="1" x14ac:dyDescent="0.25">
      <c r="A15" s="52" t="s">
        <v>46</v>
      </c>
      <c r="B15" s="52"/>
      <c r="C15" s="53">
        <f>169200*1.08</f>
        <v>182736</v>
      </c>
      <c r="D15" s="54">
        <v>30000</v>
      </c>
      <c r="E15" s="54">
        <f>($C$15-$D$15)/3</f>
        <v>50912</v>
      </c>
      <c r="F15" s="54">
        <f t="shared" ref="F15:G15" si="3">($C$15-$D$15)/3</f>
        <v>50912</v>
      </c>
      <c r="G15" s="54">
        <f t="shared" si="3"/>
        <v>50912</v>
      </c>
      <c r="H15" s="54">
        <v>0</v>
      </c>
      <c r="I15" s="54">
        <v>0</v>
      </c>
      <c r="J15" s="54">
        <v>0</v>
      </c>
      <c r="K15" s="54">
        <v>0</v>
      </c>
      <c r="L15" s="54">
        <v>0</v>
      </c>
      <c r="M15" s="54">
        <v>0</v>
      </c>
      <c r="N15" s="54">
        <v>0</v>
      </c>
      <c r="O15" s="54">
        <v>0</v>
      </c>
      <c r="P15" s="54">
        <v>0</v>
      </c>
      <c r="Q15" s="54">
        <v>0</v>
      </c>
      <c r="R15" s="54">
        <v>0</v>
      </c>
    </row>
    <row r="16" spans="1:18" s="55" customFormat="1" x14ac:dyDescent="0.25">
      <c r="A16" s="52" t="s">
        <v>47</v>
      </c>
      <c r="B16" s="52"/>
      <c r="C16" s="53">
        <f>172889*1.08</f>
        <v>186720.12000000002</v>
      </c>
      <c r="D16" s="54">
        <v>0</v>
      </c>
      <c r="E16" s="54">
        <f>$C$16/3</f>
        <v>62240.040000000008</v>
      </c>
      <c r="F16" s="54">
        <f t="shared" ref="F16:G16" si="4">$C$16/3</f>
        <v>62240.040000000008</v>
      </c>
      <c r="G16" s="54">
        <f t="shared" si="4"/>
        <v>62240.040000000008</v>
      </c>
      <c r="H16" s="54">
        <v>0</v>
      </c>
      <c r="I16" s="54">
        <v>0</v>
      </c>
      <c r="J16" s="54">
        <v>0</v>
      </c>
      <c r="K16" s="54">
        <v>0</v>
      </c>
      <c r="L16" s="54">
        <v>0</v>
      </c>
      <c r="M16" s="54">
        <v>0</v>
      </c>
      <c r="N16" s="54">
        <v>0</v>
      </c>
      <c r="O16" s="54">
        <v>0</v>
      </c>
      <c r="P16" s="54">
        <v>0</v>
      </c>
      <c r="Q16" s="54">
        <v>0</v>
      </c>
      <c r="R16" s="54">
        <v>0</v>
      </c>
    </row>
    <row r="17" spans="1:18" s="55" customFormat="1" x14ac:dyDescent="0.25">
      <c r="A17" s="52" t="s">
        <v>48</v>
      </c>
      <c r="B17" s="66"/>
      <c r="C17" s="67">
        <f>244116*1.08</f>
        <v>263645.28000000003</v>
      </c>
      <c r="D17" s="54">
        <v>20000</v>
      </c>
      <c r="E17" s="54">
        <f>($C$17-$D$17)/3</f>
        <v>81215.093333333338</v>
      </c>
      <c r="F17" s="54">
        <f t="shared" ref="F17:G17" si="5">($C$17-$D$17)/3</f>
        <v>81215.093333333338</v>
      </c>
      <c r="G17" s="54">
        <f t="shared" si="5"/>
        <v>81215.093333333338</v>
      </c>
      <c r="H17" s="54">
        <v>0</v>
      </c>
      <c r="I17" s="54">
        <v>0</v>
      </c>
      <c r="J17" s="54">
        <v>0</v>
      </c>
      <c r="K17" s="54">
        <v>0</v>
      </c>
      <c r="L17" s="54">
        <v>0</v>
      </c>
      <c r="M17" s="54">
        <v>0</v>
      </c>
      <c r="N17" s="54">
        <v>0</v>
      </c>
      <c r="O17" s="54">
        <v>0</v>
      </c>
      <c r="P17" s="54">
        <v>0</v>
      </c>
      <c r="Q17" s="54">
        <v>0</v>
      </c>
      <c r="R17" s="54">
        <v>0</v>
      </c>
    </row>
    <row r="18" spans="1:18" s="59" customFormat="1" x14ac:dyDescent="0.25">
      <c r="A18" s="56" t="s">
        <v>49</v>
      </c>
      <c r="B18" s="56"/>
      <c r="C18" s="57"/>
      <c r="D18" s="65"/>
      <c r="E18" s="65"/>
      <c r="F18" s="65"/>
      <c r="G18" s="65"/>
      <c r="H18" s="65"/>
      <c r="I18" s="65"/>
      <c r="J18" s="65"/>
      <c r="K18" s="65"/>
      <c r="L18" s="65"/>
      <c r="M18" s="65"/>
      <c r="N18" s="65"/>
      <c r="O18" s="65"/>
      <c r="P18" s="65"/>
      <c r="Q18" s="65"/>
      <c r="R18" s="65"/>
    </row>
    <row r="19" spans="1:18" s="55" customFormat="1" x14ac:dyDescent="0.25">
      <c r="A19" s="52" t="s">
        <v>50</v>
      </c>
      <c r="B19" s="66"/>
      <c r="C19" s="67">
        <f>88314+2663</f>
        <v>90977</v>
      </c>
      <c r="D19" s="54">
        <v>5000</v>
      </c>
      <c r="E19" s="54">
        <f>($C$19-$D$19)/3</f>
        <v>28659</v>
      </c>
      <c r="F19" s="54">
        <f t="shared" ref="F19:G19" si="6">($C$19-$D$19)/3</f>
        <v>28659</v>
      </c>
      <c r="G19" s="54">
        <f t="shared" si="6"/>
        <v>28659</v>
      </c>
      <c r="H19" s="54">
        <f>H12*0.21*0.3</f>
        <v>6738.48</v>
      </c>
      <c r="I19" s="54">
        <f t="shared" ref="I19:R19" si="7">I12*0.21*0.3</f>
        <v>6873.2495999999992</v>
      </c>
      <c r="J19" s="54">
        <f t="shared" si="7"/>
        <v>7010.7145919999994</v>
      </c>
      <c r="K19" s="54">
        <f t="shared" si="7"/>
        <v>7150.9288838399998</v>
      </c>
      <c r="L19" s="54">
        <f t="shared" si="7"/>
        <v>7293.9474615167992</v>
      </c>
      <c r="M19" s="54">
        <f t="shared" si="7"/>
        <v>7439.8264107471359</v>
      </c>
      <c r="N19" s="54">
        <f t="shared" si="7"/>
        <v>7588.6229389620794</v>
      </c>
      <c r="O19" s="54">
        <f t="shared" si="7"/>
        <v>7740.3953977413212</v>
      </c>
      <c r="P19" s="54">
        <f t="shared" si="7"/>
        <v>7895.2033056961473</v>
      </c>
      <c r="Q19" s="54">
        <f t="shared" si="7"/>
        <v>8053.1073718100706</v>
      </c>
      <c r="R19" s="54">
        <f t="shared" si="7"/>
        <v>8214.1695192462721</v>
      </c>
    </row>
    <row r="20" spans="1:18" s="41" customFormat="1" ht="75.400000000000006" customHeight="1" x14ac:dyDescent="0.25">
      <c r="A20" s="37" t="s">
        <v>116</v>
      </c>
      <c r="B20" s="38"/>
      <c r="C20" s="39"/>
      <c r="D20" s="40"/>
      <c r="E20" s="40"/>
      <c r="F20" s="40"/>
      <c r="G20" s="40"/>
      <c r="H20" s="40"/>
      <c r="I20" s="40"/>
      <c r="J20" s="40"/>
      <c r="K20" s="40"/>
      <c r="L20" s="40"/>
      <c r="M20" s="40"/>
      <c r="N20" s="40"/>
      <c r="O20" s="40"/>
      <c r="P20" s="40"/>
      <c r="Q20" s="40"/>
      <c r="R20" s="40"/>
    </row>
    <row r="21" spans="1:18" s="46" customFormat="1" ht="15.4" customHeight="1" x14ac:dyDescent="0.25">
      <c r="A21" s="42" t="s">
        <v>25</v>
      </c>
      <c r="B21" s="43"/>
      <c r="C21" s="44">
        <f>SUM(D21:G21)</f>
        <v>2461329.2000000002</v>
      </c>
      <c r="D21" s="45">
        <f>SUM(D23:D37)</f>
        <v>345938</v>
      </c>
      <c r="E21" s="45">
        <f t="shared" ref="E21:Q21" si="8">SUM(E23:E37)</f>
        <v>215976.61333333334</v>
      </c>
      <c r="F21" s="45">
        <f t="shared" si="8"/>
        <v>757244.83333333337</v>
      </c>
      <c r="G21" s="45">
        <f t="shared" si="8"/>
        <v>1142169.7533333332</v>
      </c>
      <c r="H21" s="45">
        <f t="shared" si="8"/>
        <v>44344.08</v>
      </c>
      <c r="I21" s="45">
        <f t="shared" si="8"/>
        <v>46117.843199999996</v>
      </c>
      <c r="J21" s="45">
        <f t="shared" si="8"/>
        <v>47962.556927999998</v>
      </c>
      <c r="K21" s="45">
        <f t="shared" si="8"/>
        <v>49881.059205119993</v>
      </c>
      <c r="L21" s="45">
        <f t="shared" si="8"/>
        <v>51876.301573324796</v>
      </c>
      <c r="M21" s="45">
        <f t="shared" si="8"/>
        <v>53951.353636257787</v>
      </c>
      <c r="N21" s="45">
        <f t="shared" si="8"/>
        <v>56109.407781708098</v>
      </c>
      <c r="O21" s="45">
        <f t="shared" si="8"/>
        <v>58353.784092976435</v>
      </c>
      <c r="P21" s="45">
        <f t="shared" si="8"/>
        <v>60687.935456695493</v>
      </c>
      <c r="Q21" s="45">
        <f t="shared" si="8"/>
        <v>63115.452874963317</v>
      </c>
      <c r="R21" s="45">
        <f>SUM(R23:R37)</f>
        <v>65640.070989961852</v>
      </c>
    </row>
    <row r="22" spans="1:18" s="51" customFormat="1" x14ac:dyDescent="0.25">
      <c r="A22" s="47" t="s">
        <v>37</v>
      </c>
      <c r="B22" s="48"/>
      <c r="C22" s="49"/>
      <c r="D22" s="50"/>
      <c r="E22" s="50"/>
      <c r="F22" s="50"/>
      <c r="G22" s="50"/>
      <c r="H22" s="50"/>
      <c r="I22" s="50"/>
      <c r="J22" s="50"/>
      <c r="K22" s="50"/>
      <c r="L22" s="50"/>
      <c r="M22" s="50"/>
      <c r="N22" s="50"/>
      <c r="O22" s="50"/>
      <c r="P22" s="50"/>
      <c r="Q22" s="50"/>
      <c r="R22" s="50"/>
    </row>
    <row r="23" spans="1:18" s="55" customFormat="1" x14ac:dyDescent="0.25">
      <c r="A23" s="52" t="s">
        <v>39</v>
      </c>
      <c r="B23" s="52"/>
      <c r="C23" s="53">
        <v>0</v>
      </c>
      <c r="D23" s="54">
        <f>C23</f>
        <v>0</v>
      </c>
      <c r="E23" s="54">
        <v>0</v>
      </c>
      <c r="F23" s="54">
        <v>0</v>
      </c>
      <c r="G23" s="54">
        <v>0</v>
      </c>
      <c r="H23" s="54">
        <v>0</v>
      </c>
      <c r="I23" s="54">
        <v>0</v>
      </c>
      <c r="J23" s="54">
        <v>0</v>
      </c>
      <c r="K23" s="54">
        <v>0</v>
      </c>
      <c r="L23" s="54">
        <v>0</v>
      </c>
      <c r="M23" s="54">
        <v>0</v>
      </c>
      <c r="N23" s="54">
        <v>0</v>
      </c>
      <c r="O23" s="54">
        <v>0</v>
      </c>
      <c r="P23" s="54">
        <v>0</v>
      </c>
      <c r="Q23" s="54">
        <v>0</v>
      </c>
      <c r="R23" s="54">
        <v>0</v>
      </c>
    </row>
    <row r="24" spans="1:18" s="55" customFormat="1" x14ac:dyDescent="0.25">
      <c r="A24" s="52" t="s">
        <v>38</v>
      </c>
      <c r="B24" s="52"/>
      <c r="C24" s="53">
        <v>0</v>
      </c>
      <c r="D24" s="54">
        <f>C24</f>
        <v>0</v>
      </c>
      <c r="E24" s="54"/>
      <c r="F24" s="54"/>
      <c r="G24" s="54"/>
      <c r="H24" s="54"/>
      <c r="I24" s="54"/>
      <c r="J24" s="54"/>
      <c r="K24" s="54"/>
      <c r="L24" s="54"/>
      <c r="M24" s="54"/>
      <c r="N24" s="54"/>
      <c r="O24" s="54"/>
      <c r="P24" s="54"/>
      <c r="Q24" s="54"/>
      <c r="R24" s="54"/>
    </row>
    <row r="25" spans="1:18" s="59" customFormat="1" x14ac:dyDescent="0.25">
      <c r="A25" s="56" t="s">
        <v>40</v>
      </c>
      <c r="B25" s="56"/>
      <c r="C25" s="57"/>
      <c r="D25" s="58"/>
      <c r="E25" s="58"/>
      <c r="F25" s="58"/>
      <c r="G25" s="58"/>
      <c r="H25" s="58"/>
      <c r="I25" s="58"/>
      <c r="J25" s="58"/>
      <c r="K25" s="58"/>
      <c r="L25" s="58"/>
      <c r="M25" s="58"/>
      <c r="N25" s="58"/>
      <c r="O25" s="58"/>
      <c r="P25" s="58"/>
      <c r="Q25" s="58"/>
      <c r="R25" s="58"/>
    </row>
    <row r="26" spans="1:18" s="55" customFormat="1" x14ac:dyDescent="0.25">
      <c r="A26" s="52" t="s">
        <v>52</v>
      </c>
      <c r="B26" s="52"/>
      <c r="C26" s="53">
        <f>19705*C20*1.08</f>
        <v>0</v>
      </c>
      <c r="D26" s="54">
        <v>345938</v>
      </c>
      <c r="E26" s="54">
        <v>0</v>
      </c>
      <c r="F26" s="54">
        <f>C26</f>
        <v>0</v>
      </c>
      <c r="G26" s="54">
        <v>0</v>
      </c>
      <c r="H26" s="54">
        <v>0</v>
      </c>
      <c r="I26" s="54">
        <v>0</v>
      </c>
      <c r="J26" s="54">
        <v>0</v>
      </c>
      <c r="K26" s="54">
        <v>0</v>
      </c>
      <c r="L26" s="54">
        <v>0</v>
      </c>
      <c r="M26" s="54">
        <v>0</v>
      </c>
      <c r="N26" s="54">
        <v>0</v>
      </c>
      <c r="O26" s="54">
        <v>0</v>
      </c>
      <c r="P26" s="54">
        <v>0</v>
      </c>
      <c r="Q26" s="54">
        <v>0</v>
      </c>
      <c r="R26" s="54">
        <v>0</v>
      </c>
    </row>
    <row r="27" spans="1:18" s="55" customFormat="1" x14ac:dyDescent="0.25">
      <c r="A27" s="52" t="s">
        <v>41</v>
      </c>
      <c r="B27" s="52"/>
      <c r="C27" s="53">
        <f>19705*1.08</f>
        <v>21281.4</v>
      </c>
      <c r="D27" s="54">
        <v>0</v>
      </c>
      <c r="E27" s="54">
        <v>0</v>
      </c>
      <c r="F27" s="54">
        <f>C27</f>
        <v>21281.4</v>
      </c>
      <c r="G27" s="54">
        <v>0</v>
      </c>
      <c r="H27" s="54">
        <v>0</v>
      </c>
      <c r="I27" s="54">
        <v>0</v>
      </c>
      <c r="J27" s="54">
        <v>0</v>
      </c>
      <c r="K27" s="54">
        <v>0</v>
      </c>
      <c r="L27" s="54">
        <v>0</v>
      </c>
      <c r="M27" s="54">
        <v>0</v>
      </c>
      <c r="N27" s="54">
        <v>0</v>
      </c>
      <c r="O27" s="54">
        <v>0</v>
      </c>
      <c r="P27" s="54">
        <v>0</v>
      </c>
      <c r="Q27" s="54">
        <v>0</v>
      </c>
      <c r="R27" s="54">
        <v>0</v>
      </c>
    </row>
    <row r="28" spans="1:18" s="55" customFormat="1" x14ac:dyDescent="0.25">
      <c r="A28" s="52" t="s">
        <v>42</v>
      </c>
      <c r="B28" s="52"/>
      <c r="C28" s="53">
        <f>1268150*1.08</f>
        <v>1369602</v>
      </c>
      <c r="D28" s="54">
        <v>0</v>
      </c>
      <c r="E28" s="54">
        <v>0</v>
      </c>
      <c r="F28" s="54">
        <v>475000</v>
      </c>
      <c r="G28" s="54">
        <f>C28-F28</f>
        <v>894602</v>
      </c>
      <c r="H28" s="54">
        <v>0</v>
      </c>
      <c r="I28" s="54">
        <v>0</v>
      </c>
      <c r="J28" s="54">
        <v>0</v>
      </c>
      <c r="K28" s="54">
        <v>0</v>
      </c>
      <c r="L28" s="54">
        <v>0</v>
      </c>
      <c r="M28" s="54">
        <v>0</v>
      </c>
      <c r="N28" s="54">
        <v>0</v>
      </c>
      <c r="O28" s="54">
        <v>0</v>
      </c>
      <c r="P28" s="54">
        <v>0</v>
      </c>
      <c r="Q28" s="54">
        <v>0</v>
      </c>
      <c r="R28" s="54">
        <v>0</v>
      </c>
    </row>
    <row r="29" spans="1:18" s="55" customFormat="1" x14ac:dyDescent="0.25">
      <c r="A29" s="52" t="s">
        <v>43</v>
      </c>
      <c r="B29" s="52"/>
      <c r="C29" s="53">
        <f>49160</f>
        <v>49160</v>
      </c>
      <c r="D29" s="54">
        <v>0</v>
      </c>
      <c r="E29" s="54">
        <v>0</v>
      </c>
      <c r="F29" s="54">
        <f>C29*0.7</f>
        <v>34412</v>
      </c>
      <c r="G29" s="54">
        <f>C29-F29</f>
        <v>14748</v>
      </c>
      <c r="H29" s="54">
        <v>0</v>
      </c>
      <c r="I29" s="54">
        <v>0</v>
      </c>
      <c r="J29" s="54">
        <v>0</v>
      </c>
      <c r="K29" s="54">
        <v>0</v>
      </c>
      <c r="L29" s="54">
        <v>0</v>
      </c>
      <c r="M29" s="54">
        <v>0</v>
      </c>
      <c r="N29" s="54">
        <v>0</v>
      </c>
      <c r="O29" s="54">
        <v>0</v>
      </c>
      <c r="P29" s="54">
        <v>0</v>
      </c>
      <c r="Q29" s="54">
        <v>0</v>
      </c>
      <c r="R29" s="54">
        <v>0</v>
      </c>
    </row>
    <row r="30" spans="1:18" s="64" customFormat="1" ht="120" x14ac:dyDescent="0.25">
      <c r="A30" s="60" t="s">
        <v>51</v>
      </c>
      <c r="B30" s="61" t="s">
        <v>53</v>
      </c>
      <c r="C30" s="62">
        <v>0</v>
      </c>
      <c r="D30" s="63">
        <v>0</v>
      </c>
      <c r="E30" s="63">
        <v>0</v>
      </c>
      <c r="F30" s="63">
        <v>0</v>
      </c>
      <c r="G30" s="63">
        <v>0</v>
      </c>
      <c r="H30" s="63">
        <f>(989*1600+250000)/50</f>
        <v>36648</v>
      </c>
      <c r="I30" s="63">
        <f>H30*1.04</f>
        <v>38113.919999999998</v>
      </c>
      <c r="J30" s="63">
        <f t="shared" ref="J30:R30" si="9">I30*1.04</f>
        <v>39638.476799999997</v>
      </c>
      <c r="K30" s="63">
        <f t="shared" si="9"/>
        <v>41224.015871999996</v>
      </c>
      <c r="L30" s="63">
        <f t="shared" si="9"/>
        <v>42872.976506879997</v>
      </c>
      <c r="M30" s="63">
        <f t="shared" si="9"/>
        <v>44587.895567155196</v>
      </c>
      <c r="N30" s="63">
        <f t="shared" si="9"/>
        <v>46371.411389841407</v>
      </c>
      <c r="O30" s="63">
        <f t="shared" si="9"/>
        <v>48226.267845435068</v>
      </c>
      <c r="P30" s="63">
        <f t="shared" si="9"/>
        <v>50155.318559252475</v>
      </c>
      <c r="Q30" s="63">
        <f t="shared" si="9"/>
        <v>52161.531301622577</v>
      </c>
      <c r="R30" s="63">
        <f t="shared" si="9"/>
        <v>54247.99255368748</v>
      </c>
    </row>
    <row r="31" spans="1:18" s="59" customFormat="1" x14ac:dyDescent="0.25">
      <c r="A31" s="56" t="s">
        <v>44</v>
      </c>
      <c r="B31" s="56"/>
      <c r="C31" s="57"/>
      <c r="D31" s="65"/>
      <c r="E31" s="65"/>
      <c r="F31" s="65"/>
      <c r="G31" s="65"/>
      <c r="H31" s="65"/>
      <c r="I31" s="65"/>
      <c r="J31" s="65"/>
      <c r="K31" s="65"/>
      <c r="L31" s="65"/>
      <c r="M31" s="65"/>
      <c r="N31" s="65"/>
      <c r="O31" s="65"/>
      <c r="P31" s="65"/>
      <c r="Q31" s="65"/>
      <c r="R31" s="65"/>
    </row>
    <row r="32" spans="1:18" s="55" customFormat="1" x14ac:dyDescent="0.25">
      <c r="A32" s="52" t="s">
        <v>45</v>
      </c>
      <c r="B32" s="52"/>
      <c r="C32" s="53">
        <f>195830*1.08</f>
        <v>211496.40000000002</v>
      </c>
      <c r="D32" s="54">
        <v>0</v>
      </c>
      <c r="E32" s="54">
        <f>C32*0.3</f>
        <v>63448.920000000006</v>
      </c>
      <c r="F32" s="54">
        <f>C32*0.35</f>
        <v>74023.740000000005</v>
      </c>
      <c r="G32" s="54">
        <f>C32-D32-E32-F32</f>
        <v>74023.740000000005</v>
      </c>
      <c r="H32" s="54">
        <v>0</v>
      </c>
      <c r="I32" s="54">
        <v>0</v>
      </c>
      <c r="J32" s="54">
        <v>0</v>
      </c>
      <c r="K32" s="54">
        <v>0</v>
      </c>
      <c r="L32" s="54">
        <v>0</v>
      </c>
      <c r="M32" s="54">
        <v>0</v>
      </c>
      <c r="N32" s="54">
        <v>0</v>
      </c>
      <c r="O32" s="54">
        <v>0</v>
      </c>
      <c r="P32" s="54">
        <v>0</v>
      </c>
      <c r="Q32" s="54">
        <v>0</v>
      </c>
      <c r="R32" s="54">
        <v>0</v>
      </c>
    </row>
    <row r="33" spans="1:18" s="55" customFormat="1" x14ac:dyDescent="0.25">
      <c r="A33" s="52" t="s">
        <v>46</v>
      </c>
      <c r="B33" s="52"/>
      <c r="C33" s="53">
        <v>0</v>
      </c>
      <c r="D33" s="54">
        <v>0</v>
      </c>
      <c r="E33" s="54">
        <v>0</v>
      </c>
      <c r="F33" s="54">
        <v>0</v>
      </c>
      <c r="G33" s="54">
        <v>0</v>
      </c>
      <c r="H33" s="54">
        <v>0</v>
      </c>
      <c r="I33" s="54">
        <v>0</v>
      </c>
      <c r="J33" s="54">
        <v>0</v>
      </c>
      <c r="K33" s="54">
        <v>0</v>
      </c>
      <c r="L33" s="54">
        <v>0</v>
      </c>
      <c r="M33" s="54">
        <v>0</v>
      </c>
      <c r="N33" s="54">
        <v>0</v>
      </c>
      <c r="O33" s="54">
        <v>0</v>
      </c>
      <c r="P33" s="54">
        <v>0</v>
      </c>
      <c r="Q33" s="54">
        <v>0</v>
      </c>
      <c r="R33" s="54">
        <v>0</v>
      </c>
    </row>
    <row r="34" spans="1:18" s="55" customFormat="1" x14ac:dyDescent="0.25">
      <c r="A34" s="52" t="s">
        <v>47</v>
      </c>
      <c r="B34" s="52"/>
      <c r="C34" s="53">
        <f>86976*1.08</f>
        <v>93934.080000000002</v>
      </c>
      <c r="D34" s="54">
        <v>0</v>
      </c>
      <c r="E34" s="54">
        <f>$C$34/3</f>
        <v>31311.360000000001</v>
      </c>
      <c r="F34" s="54">
        <f t="shared" ref="F34:G34" si="10">$C$34/3</f>
        <v>31311.360000000001</v>
      </c>
      <c r="G34" s="54">
        <f t="shared" si="10"/>
        <v>31311.360000000001</v>
      </c>
      <c r="H34" s="54">
        <v>0</v>
      </c>
      <c r="I34" s="54">
        <v>0</v>
      </c>
      <c r="J34" s="54">
        <v>0</v>
      </c>
      <c r="K34" s="54">
        <v>0</v>
      </c>
      <c r="L34" s="54">
        <v>0</v>
      </c>
      <c r="M34" s="54">
        <v>0</v>
      </c>
      <c r="N34" s="54">
        <v>0</v>
      </c>
      <c r="O34" s="54">
        <v>0</v>
      </c>
      <c r="P34" s="54">
        <v>0</v>
      </c>
      <c r="Q34" s="54">
        <v>0</v>
      </c>
      <c r="R34" s="54">
        <v>0</v>
      </c>
    </row>
    <row r="35" spans="1:18" s="55" customFormat="1" x14ac:dyDescent="0.25">
      <c r="A35" s="52" t="s">
        <v>48</v>
      </c>
      <c r="B35" s="66"/>
      <c r="C35" s="67">
        <f>5804*1.08</f>
        <v>6268.3200000000006</v>
      </c>
      <c r="D35" s="54">
        <v>0</v>
      </c>
      <c r="E35" s="54">
        <v>0</v>
      </c>
      <c r="F35" s="54">
        <v>0</v>
      </c>
      <c r="G35" s="54">
        <f>C35</f>
        <v>6268.3200000000006</v>
      </c>
      <c r="H35" s="54">
        <v>0</v>
      </c>
      <c r="I35" s="54">
        <v>0</v>
      </c>
      <c r="J35" s="54">
        <v>0</v>
      </c>
      <c r="K35" s="54">
        <v>0</v>
      </c>
      <c r="L35" s="54">
        <v>0</v>
      </c>
      <c r="M35" s="54">
        <v>0</v>
      </c>
      <c r="N35" s="54">
        <v>0</v>
      </c>
      <c r="O35" s="54">
        <v>0</v>
      </c>
      <c r="P35" s="54">
        <v>0</v>
      </c>
      <c r="Q35" s="54">
        <v>0</v>
      </c>
      <c r="R35" s="54">
        <v>0</v>
      </c>
    </row>
    <row r="36" spans="1:18" s="59" customFormat="1" x14ac:dyDescent="0.25">
      <c r="A36" s="56" t="s">
        <v>49</v>
      </c>
      <c r="B36" s="56"/>
      <c r="C36" s="57"/>
      <c r="D36" s="65"/>
      <c r="E36" s="65"/>
      <c r="F36" s="65"/>
      <c r="G36" s="65"/>
      <c r="H36" s="65"/>
      <c r="I36" s="65"/>
      <c r="J36" s="65"/>
      <c r="K36" s="65"/>
      <c r="L36" s="65"/>
      <c r="M36" s="65"/>
      <c r="N36" s="65"/>
      <c r="O36" s="65"/>
      <c r="P36" s="65"/>
      <c r="Q36" s="65"/>
      <c r="R36" s="65"/>
    </row>
    <row r="37" spans="1:18" s="55" customFormat="1" x14ac:dyDescent="0.25">
      <c r="A37" s="52" t="s">
        <v>50</v>
      </c>
      <c r="B37" s="66"/>
      <c r="C37" s="67">
        <v>363649</v>
      </c>
      <c r="D37" s="54">
        <v>0</v>
      </c>
      <c r="E37" s="54">
        <f>$C$37/3</f>
        <v>121216.33333333333</v>
      </c>
      <c r="F37" s="54">
        <f t="shared" ref="F37:G37" si="11">$C$37/3</f>
        <v>121216.33333333333</v>
      </c>
      <c r="G37" s="54">
        <f t="shared" si="11"/>
        <v>121216.33333333333</v>
      </c>
      <c r="H37" s="54">
        <f>H30*0.21</f>
        <v>7696.08</v>
      </c>
      <c r="I37" s="54">
        <f t="shared" ref="I37:R37" si="12">I30*0.21</f>
        <v>8003.9231999999993</v>
      </c>
      <c r="J37" s="54">
        <f t="shared" si="12"/>
        <v>8324.0801279999996</v>
      </c>
      <c r="K37" s="54">
        <f t="shared" si="12"/>
        <v>8657.0433331199984</v>
      </c>
      <c r="L37" s="54">
        <f t="shared" si="12"/>
        <v>9003.3250664447987</v>
      </c>
      <c r="M37" s="54">
        <f t="shared" si="12"/>
        <v>9363.4580691025913</v>
      </c>
      <c r="N37" s="54">
        <f t="shared" si="12"/>
        <v>9737.9963918666945</v>
      </c>
      <c r="O37" s="54">
        <f t="shared" si="12"/>
        <v>10127.516247541364</v>
      </c>
      <c r="P37" s="54">
        <f t="shared" si="12"/>
        <v>10532.61689744302</v>
      </c>
      <c r="Q37" s="54">
        <f t="shared" si="12"/>
        <v>10953.92157334074</v>
      </c>
      <c r="R37" s="54">
        <f t="shared" si="12"/>
        <v>11392.078436274371</v>
      </c>
    </row>
    <row r="38" spans="1:18" s="72" customFormat="1" x14ac:dyDescent="0.25">
      <c r="A38" s="68" t="s">
        <v>25</v>
      </c>
      <c r="B38" s="69"/>
      <c r="C38" s="70"/>
      <c r="D38" s="71">
        <f t="shared" ref="D38:R38" si="13">D21+D4</f>
        <v>1841470</v>
      </c>
      <c r="E38" s="71">
        <f t="shared" si="13"/>
        <v>545098.49066666677</v>
      </c>
      <c r="F38" s="71">
        <f t="shared" si="13"/>
        <v>2039595.9746666667</v>
      </c>
      <c r="G38" s="71">
        <f t="shared" si="13"/>
        <v>3792118.6546666669</v>
      </c>
      <c r="H38" s="71">
        <f t="shared" si="13"/>
        <v>158042.56</v>
      </c>
      <c r="I38" s="71">
        <f t="shared" si="13"/>
        <v>162090.2928</v>
      </c>
      <c r="J38" s="71">
        <f t="shared" si="13"/>
        <v>166254.45551999999</v>
      </c>
      <c r="K38" s="71">
        <f t="shared" si="13"/>
        <v>170538.79576895997</v>
      </c>
      <c r="L38" s="71">
        <f t="shared" si="13"/>
        <v>174947.19286844161</v>
      </c>
      <c r="M38" s="71">
        <f t="shared" si="13"/>
        <v>179483.66275727691</v>
      </c>
      <c r="N38" s="71">
        <f t="shared" si="13"/>
        <v>184152.36308514763</v>
      </c>
      <c r="O38" s="71">
        <f t="shared" si="13"/>
        <v>188957.59850248476</v>
      </c>
      <c r="P38" s="71">
        <f t="shared" si="13"/>
        <v>193903.82615439399</v>
      </c>
      <c r="Q38" s="71">
        <f t="shared" si="13"/>
        <v>198995.6613866158</v>
      </c>
      <c r="R38" s="71">
        <f t="shared" si="13"/>
        <v>204237.88367184738</v>
      </c>
    </row>
    <row r="39" spans="1:18" s="73" customFormat="1" x14ac:dyDescent="0.25">
      <c r="C39" s="74"/>
    </row>
    <row r="40" spans="1:18" s="73" customFormat="1" x14ac:dyDescent="0.25">
      <c r="C40" s="74"/>
      <c r="I40" s="75"/>
    </row>
    <row r="41" spans="1:18" s="73" customFormat="1" x14ac:dyDescent="0.25">
      <c r="C41" s="74"/>
    </row>
    <row r="42" spans="1:18" s="73" customFormat="1" x14ac:dyDescent="0.25">
      <c r="C42" s="74"/>
    </row>
    <row r="43" spans="1:18" s="73" customFormat="1" x14ac:dyDescent="0.25">
      <c r="C43" s="74"/>
    </row>
    <row r="44" spans="1:18" s="73" customFormat="1" x14ac:dyDescent="0.25">
      <c r="C44" s="74"/>
    </row>
    <row r="45" spans="1:18" s="73" customFormat="1" x14ac:dyDescent="0.25">
      <c r="C45" s="74"/>
    </row>
    <row r="46" spans="1:18" s="73" customFormat="1" x14ac:dyDescent="0.25">
      <c r="C46" s="74"/>
    </row>
    <row r="47" spans="1:18" s="73" customFormat="1" x14ac:dyDescent="0.25">
      <c r="C47" s="74"/>
    </row>
    <row r="48" spans="1:18" s="73" customFormat="1" x14ac:dyDescent="0.25">
      <c r="C48" s="74"/>
    </row>
    <row r="49" spans="3:3" s="73" customFormat="1" x14ac:dyDescent="0.25">
      <c r="C49" s="74"/>
    </row>
    <row r="50" spans="3:3" s="73" customFormat="1" x14ac:dyDescent="0.25">
      <c r="C50" s="74"/>
    </row>
    <row r="51" spans="3:3" s="73" customFormat="1" x14ac:dyDescent="0.25">
      <c r="C51" s="74"/>
    </row>
    <row r="52" spans="3:3" s="73" customFormat="1" x14ac:dyDescent="0.25">
      <c r="C52" s="74"/>
    </row>
    <row r="53" spans="3:3" s="73" customFormat="1" x14ac:dyDescent="0.25">
      <c r="C53" s="74"/>
    </row>
    <row r="54" spans="3:3" s="73" customFormat="1" x14ac:dyDescent="0.25">
      <c r="C54" s="74"/>
    </row>
    <row r="55" spans="3:3" s="73" customFormat="1" x14ac:dyDescent="0.25">
      <c r="C55" s="74"/>
    </row>
    <row r="56" spans="3:3" s="73" customFormat="1" x14ac:dyDescent="0.25">
      <c r="C56" s="74"/>
    </row>
    <row r="57" spans="3:3" s="73" customFormat="1" x14ac:dyDescent="0.25">
      <c r="C57" s="74"/>
    </row>
    <row r="58" spans="3:3" s="73" customFormat="1" x14ac:dyDescent="0.25">
      <c r="C58" s="74"/>
    </row>
    <row r="59" spans="3:3" s="73" customFormat="1" x14ac:dyDescent="0.25">
      <c r="C59" s="74"/>
    </row>
    <row r="60" spans="3:3" s="73" customFormat="1" x14ac:dyDescent="0.25">
      <c r="C60" s="74"/>
    </row>
    <row r="61" spans="3:3" s="73" customFormat="1" x14ac:dyDescent="0.25">
      <c r="C61" s="74"/>
    </row>
    <row r="62" spans="3:3" s="73" customFormat="1" x14ac:dyDescent="0.25">
      <c r="C62" s="74"/>
    </row>
    <row r="63" spans="3:3" s="73" customFormat="1" x14ac:dyDescent="0.25">
      <c r="C63" s="74"/>
    </row>
    <row r="64" spans="3:3" s="73" customFormat="1" x14ac:dyDescent="0.25">
      <c r="C64" s="74"/>
    </row>
    <row r="65" spans="3:3" s="73" customFormat="1" x14ac:dyDescent="0.25">
      <c r="C65" s="74"/>
    </row>
    <row r="66" spans="3:3" s="73" customFormat="1" x14ac:dyDescent="0.25">
      <c r="C66" s="74"/>
    </row>
    <row r="67" spans="3:3" s="73" customFormat="1" x14ac:dyDescent="0.25">
      <c r="C67" s="74"/>
    </row>
    <row r="68" spans="3:3" s="73" customFormat="1" x14ac:dyDescent="0.25">
      <c r="C68" s="74"/>
    </row>
    <row r="69" spans="3:3" s="73" customFormat="1" x14ac:dyDescent="0.25">
      <c r="C69" s="74"/>
    </row>
    <row r="70" spans="3:3" s="73" customFormat="1" x14ac:dyDescent="0.25">
      <c r="C70" s="74"/>
    </row>
    <row r="71" spans="3:3" s="73" customFormat="1" x14ac:dyDescent="0.25">
      <c r="C71" s="74"/>
    </row>
    <row r="72" spans="3:3" s="73" customFormat="1" x14ac:dyDescent="0.25">
      <c r="C72" s="74"/>
    </row>
    <row r="73" spans="3:3" s="73" customFormat="1" x14ac:dyDescent="0.25">
      <c r="C73" s="74"/>
    </row>
    <row r="74" spans="3:3" s="73" customFormat="1" x14ac:dyDescent="0.25">
      <c r="C74" s="74"/>
    </row>
    <row r="75" spans="3:3" s="73" customFormat="1" x14ac:dyDescent="0.25">
      <c r="C75" s="74"/>
    </row>
    <row r="76" spans="3:3" s="73" customFormat="1" x14ac:dyDescent="0.25">
      <c r="C76" s="74"/>
    </row>
    <row r="77" spans="3:3" s="73" customFormat="1" x14ac:dyDescent="0.25">
      <c r="C77" s="74"/>
    </row>
    <row r="78" spans="3:3" s="73" customFormat="1" x14ac:dyDescent="0.25">
      <c r="C78" s="74"/>
    </row>
    <row r="79" spans="3:3" s="73" customFormat="1" x14ac:dyDescent="0.25">
      <c r="C79" s="74"/>
    </row>
    <row r="80" spans="3:3" s="73" customFormat="1" x14ac:dyDescent="0.25">
      <c r="C80" s="74"/>
    </row>
    <row r="81" spans="3:3" s="73" customFormat="1" x14ac:dyDescent="0.25">
      <c r="C81" s="74"/>
    </row>
    <row r="82" spans="3:3" s="73" customFormat="1" x14ac:dyDescent="0.25">
      <c r="C82" s="74"/>
    </row>
    <row r="83" spans="3:3" s="73" customFormat="1" x14ac:dyDescent="0.25">
      <c r="C83" s="74"/>
    </row>
    <row r="84" spans="3:3" s="73" customFormat="1" x14ac:dyDescent="0.25">
      <c r="C84" s="74"/>
    </row>
    <row r="85" spans="3:3" s="73" customFormat="1" x14ac:dyDescent="0.25">
      <c r="C85" s="74"/>
    </row>
    <row r="86" spans="3:3" s="73" customFormat="1" x14ac:dyDescent="0.25">
      <c r="C86" s="74"/>
    </row>
    <row r="87" spans="3:3" s="73" customFormat="1" x14ac:dyDescent="0.25">
      <c r="C87" s="74"/>
    </row>
    <row r="88" spans="3:3" s="73" customFormat="1" x14ac:dyDescent="0.25">
      <c r="C88" s="74"/>
    </row>
    <row r="89" spans="3:3" s="73" customFormat="1" x14ac:dyDescent="0.25">
      <c r="C89" s="74"/>
    </row>
    <row r="90" spans="3:3" s="73" customFormat="1" x14ac:dyDescent="0.25">
      <c r="C90" s="74"/>
    </row>
    <row r="91" spans="3:3" s="73" customFormat="1" x14ac:dyDescent="0.25">
      <c r="C91" s="74"/>
    </row>
    <row r="92" spans="3:3" s="73" customFormat="1" x14ac:dyDescent="0.25">
      <c r="C92" s="74"/>
    </row>
    <row r="93" spans="3:3" s="73" customFormat="1" x14ac:dyDescent="0.25">
      <c r="C93" s="74"/>
    </row>
    <row r="94" spans="3:3" s="73" customFormat="1" x14ac:dyDescent="0.25">
      <c r="C94" s="74"/>
    </row>
    <row r="95" spans="3:3" s="73" customFormat="1" x14ac:dyDescent="0.25">
      <c r="C95" s="74"/>
    </row>
    <row r="96" spans="3:3" s="73" customFormat="1" x14ac:dyDescent="0.25">
      <c r="C96" s="74"/>
    </row>
    <row r="97" spans="3:3" s="73" customFormat="1" x14ac:dyDescent="0.25">
      <c r="C97" s="74"/>
    </row>
    <row r="98" spans="3:3" s="73" customFormat="1" x14ac:dyDescent="0.25">
      <c r="C98" s="74"/>
    </row>
    <row r="99" spans="3:3" s="73" customFormat="1" x14ac:dyDescent="0.25">
      <c r="C99" s="74"/>
    </row>
    <row r="100" spans="3:3" s="73" customFormat="1" x14ac:dyDescent="0.25">
      <c r="C100" s="74"/>
    </row>
    <row r="101" spans="3:3" s="73" customFormat="1" x14ac:dyDescent="0.25">
      <c r="C101" s="74"/>
    </row>
    <row r="102" spans="3:3" s="73" customFormat="1" x14ac:dyDescent="0.25">
      <c r="C102" s="74"/>
    </row>
    <row r="103" spans="3:3" s="73" customFormat="1" x14ac:dyDescent="0.25">
      <c r="C103" s="74"/>
    </row>
    <row r="104" spans="3:3" s="73" customFormat="1" x14ac:dyDescent="0.25">
      <c r="C104" s="74"/>
    </row>
    <row r="105" spans="3:3" s="73" customFormat="1" x14ac:dyDescent="0.25">
      <c r="C105" s="74"/>
    </row>
    <row r="106" spans="3:3" s="73" customFormat="1" x14ac:dyDescent="0.25">
      <c r="C106" s="74"/>
    </row>
    <row r="107" spans="3:3" s="73" customFormat="1" x14ac:dyDescent="0.25">
      <c r="C107" s="74"/>
    </row>
    <row r="108" spans="3:3" s="73" customFormat="1" x14ac:dyDescent="0.25">
      <c r="C108" s="74"/>
    </row>
    <row r="109" spans="3:3" s="73" customFormat="1" x14ac:dyDescent="0.25">
      <c r="C109" s="74"/>
    </row>
    <row r="110" spans="3:3" s="73" customFormat="1" x14ac:dyDescent="0.25">
      <c r="C110" s="74"/>
    </row>
    <row r="111" spans="3:3" s="73" customFormat="1" x14ac:dyDescent="0.25">
      <c r="C111" s="74"/>
    </row>
    <row r="112" spans="3:3" s="73" customFormat="1" x14ac:dyDescent="0.25">
      <c r="C112" s="74"/>
    </row>
    <row r="113" spans="3:3" s="73" customFormat="1" x14ac:dyDescent="0.25">
      <c r="C113" s="74"/>
    </row>
    <row r="114" spans="3:3" s="73" customFormat="1" x14ac:dyDescent="0.25">
      <c r="C114" s="74"/>
    </row>
    <row r="115" spans="3:3" s="73" customFormat="1" x14ac:dyDescent="0.25">
      <c r="C115" s="74"/>
    </row>
    <row r="116" spans="3:3" s="73" customFormat="1" x14ac:dyDescent="0.25">
      <c r="C116" s="74"/>
    </row>
    <row r="117" spans="3:3" s="73" customFormat="1" x14ac:dyDescent="0.25">
      <c r="C117" s="74"/>
    </row>
    <row r="118" spans="3:3" s="73" customFormat="1" x14ac:dyDescent="0.25">
      <c r="C118" s="74"/>
    </row>
    <row r="119" spans="3:3" s="73" customFormat="1" x14ac:dyDescent="0.25">
      <c r="C119" s="74"/>
    </row>
    <row r="120" spans="3:3" s="73" customFormat="1" x14ac:dyDescent="0.25">
      <c r="C120" s="74"/>
    </row>
    <row r="121" spans="3:3" s="73" customFormat="1" x14ac:dyDescent="0.25">
      <c r="C121" s="74"/>
    </row>
    <row r="122" spans="3:3" s="73" customFormat="1" x14ac:dyDescent="0.25">
      <c r="C122" s="74"/>
    </row>
    <row r="123" spans="3:3" s="73" customFormat="1" x14ac:dyDescent="0.25">
      <c r="C123" s="74"/>
    </row>
    <row r="124" spans="3:3" s="73" customFormat="1" x14ac:dyDescent="0.25">
      <c r="C124" s="74"/>
    </row>
    <row r="125" spans="3:3" s="73" customFormat="1" x14ac:dyDescent="0.25">
      <c r="C125" s="74"/>
    </row>
    <row r="126" spans="3:3" s="73" customFormat="1" x14ac:dyDescent="0.25">
      <c r="C126" s="74"/>
    </row>
    <row r="127" spans="3:3" s="73" customFormat="1" x14ac:dyDescent="0.25">
      <c r="C127" s="74"/>
    </row>
    <row r="128" spans="3:3" s="73" customFormat="1" x14ac:dyDescent="0.25">
      <c r="C128" s="74"/>
    </row>
    <row r="129" spans="3:3" s="73" customFormat="1" x14ac:dyDescent="0.25">
      <c r="C129" s="74"/>
    </row>
    <row r="130" spans="3:3" s="73" customFormat="1" x14ac:dyDescent="0.25">
      <c r="C130" s="74"/>
    </row>
    <row r="131" spans="3:3" s="73" customFormat="1" x14ac:dyDescent="0.25">
      <c r="C131" s="74"/>
    </row>
    <row r="132" spans="3:3" s="73" customFormat="1" x14ac:dyDescent="0.25">
      <c r="C132" s="74"/>
    </row>
    <row r="133" spans="3:3" s="73" customFormat="1" x14ac:dyDescent="0.25">
      <c r="C133" s="74"/>
    </row>
    <row r="134" spans="3:3" s="73" customFormat="1" x14ac:dyDescent="0.25">
      <c r="C134" s="74"/>
    </row>
    <row r="135" spans="3:3" s="73" customFormat="1" x14ac:dyDescent="0.25">
      <c r="C135" s="74"/>
    </row>
    <row r="136" spans="3:3" s="73" customFormat="1" x14ac:dyDescent="0.25">
      <c r="C136" s="74"/>
    </row>
    <row r="137" spans="3:3" s="73" customFormat="1" x14ac:dyDescent="0.25">
      <c r="C137" s="74"/>
    </row>
    <row r="138" spans="3:3" s="73" customFormat="1" x14ac:dyDescent="0.25">
      <c r="C138" s="74"/>
    </row>
    <row r="139" spans="3:3" s="73" customFormat="1" x14ac:dyDescent="0.25">
      <c r="C139" s="74"/>
    </row>
    <row r="140" spans="3:3" s="73" customFormat="1" x14ac:dyDescent="0.25">
      <c r="C140" s="74"/>
    </row>
    <row r="141" spans="3:3" s="73" customFormat="1" x14ac:dyDescent="0.25">
      <c r="C141" s="74"/>
    </row>
    <row r="142" spans="3:3" s="73" customFormat="1" x14ac:dyDescent="0.25">
      <c r="C142" s="74"/>
    </row>
    <row r="143" spans="3:3" s="73" customFormat="1" x14ac:dyDescent="0.25">
      <c r="C143" s="74"/>
    </row>
    <row r="144" spans="3:3" s="73" customFormat="1" x14ac:dyDescent="0.25">
      <c r="C144" s="74"/>
    </row>
    <row r="145" spans="3:3" s="73" customFormat="1" x14ac:dyDescent="0.25">
      <c r="C145" s="74"/>
    </row>
    <row r="146" spans="3:3" s="73" customFormat="1" x14ac:dyDescent="0.25">
      <c r="C146" s="74"/>
    </row>
    <row r="147" spans="3:3" s="73" customFormat="1" x14ac:dyDescent="0.25">
      <c r="C147" s="74"/>
    </row>
    <row r="148" spans="3:3" s="73" customFormat="1" x14ac:dyDescent="0.25">
      <c r="C148" s="74"/>
    </row>
    <row r="149" spans="3:3" s="73" customFormat="1" x14ac:dyDescent="0.25">
      <c r="C149" s="74"/>
    </row>
    <row r="150" spans="3:3" s="73" customFormat="1" x14ac:dyDescent="0.25">
      <c r="C150" s="74"/>
    </row>
    <row r="151" spans="3:3" s="73" customFormat="1" x14ac:dyDescent="0.25">
      <c r="C151" s="74"/>
    </row>
    <row r="152" spans="3:3" s="73" customFormat="1" x14ac:dyDescent="0.25">
      <c r="C152" s="74"/>
    </row>
    <row r="153" spans="3:3" s="73" customFormat="1" x14ac:dyDescent="0.25">
      <c r="C153" s="74"/>
    </row>
    <row r="154" spans="3:3" s="73" customFormat="1" x14ac:dyDescent="0.25">
      <c r="C154" s="74"/>
    </row>
    <row r="155" spans="3:3" s="73" customFormat="1" x14ac:dyDescent="0.25">
      <c r="C155" s="74"/>
    </row>
    <row r="156" spans="3:3" s="73" customFormat="1" x14ac:dyDescent="0.25">
      <c r="C156" s="74"/>
    </row>
    <row r="157" spans="3:3" s="73" customFormat="1" x14ac:dyDescent="0.25">
      <c r="C157" s="74"/>
    </row>
    <row r="158" spans="3:3" s="73" customFormat="1" x14ac:dyDescent="0.25">
      <c r="C158" s="74"/>
    </row>
    <row r="159" spans="3:3" s="73" customFormat="1" x14ac:dyDescent="0.25">
      <c r="C159" s="74"/>
    </row>
    <row r="160" spans="3:3" s="73" customFormat="1" x14ac:dyDescent="0.25">
      <c r="C160" s="74"/>
    </row>
    <row r="161" spans="3:3" s="73" customFormat="1" x14ac:dyDescent="0.25">
      <c r="C161" s="74"/>
    </row>
    <row r="162" spans="3:3" s="73" customFormat="1" x14ac:dyDescent="0.25">
      <c r="C162" s="74"/>
    </row>
    <row r="163" spans="3:3" s="73" customFormat="1" x14ac:dyDescent="0.25">
      <c r="C163" s="74"/>
    </row>
    <row r="164" spans="3:3" s="73" customFormat="1" x14ac:dyDescent="0.25">
      <c r="C164" s="74"/>
    </row>
    <row r="165" spans="3:3" s="73" customFormat="1" x14ac:dyDescent="0.25">
      <c r="C165" s="74"/>
    </row>
    <row r="166" spans="3:3" s="73" customFormat="1" x14ac:dyDescent="0.25">
      <c r="C166" s="74"/>
    </row>
    <row r="167" spans="3:3" s="73" customFormat="1" x14ac:dyDescent="0.25">
      <c r="C167" s="74"/>
    </row>
    <row r="168" spans="3:3" s="73" customFormat="1" x14ac:dyDescent="0.25">
      <c r="C168" s="74"/>
    </row>
    <row r="169" spans="3:3" s="73" customFormat="1" x14ac:dyDescent="0.25">
      <c r="C169" s="74"/>
    </row>
    <row r="170" spans="3:3" s="73" customFormat="1" x14ac:dyDescent="0.25">
      <c r="C170" s="74"/>
    </row>
    <row r="171" spans="3:3" s="73" customFormat="1" x14ac:dyDescent="0.25">
      <c r="C171" s="74"/>
    </row>
    <row r="172" spans="3:3" s="73" customFormat="1" x14ac:dyDescent="0.25">
      <c r="C172" s="74"/>
    </row>
    <row r="173" spans="3:3" s="73" customFormat="1" x14ac:dyDescent="0.25">
      <c r="C173" s="74"/>
    </row>
    <row r="174" spans="3:3" s="73" customFormat="1" x14ac:dyDescent="0.25">
      <c r="C174" s="74"/>
    </row>
    <row r="175" spans="3:3" s="73" customFormat="1" x14ac:dyDescent="0.25">
      <c r="C175" s="74"/>
    </row>
    <row r="176" spans="3:3" s="73" customFormat="1" x14ac:dyDescent="0.25">
      <c r="C176" s="74"/>
    </row>
    <row r="177" spans="3:3" s="73" customFormat="1" x14ac:dyDescent="0.25">
      <c r="C177" s="74"/>
    </row>
    <row r="178" spans="3:3" s="73" customFormat="1" x14ac:dyDescent="0.25">
      <c r="C178" s="74"/>
    </row>
    <row r="179" spans="3:3" s="73" customFormat="1" x14ac:dyDescent="0.25">
      <c r="C179" s="74"/>
    </row>
    <row r="180" spans="3:3" s="73" customFormat="1" x14ac:dyDescent="0.25">
      <c r="C180" s="74"/>
    </row>
    <row r="181" spans="3:3" s="73" customFormat="1" x14ac:dyDescent="0.25">
      <c r="C181" s="74"/>
    </row>
    <row r="182" spans="3:3" s="73" customFormat="1" x14ac:dyDescent="0.25">
      <c r="C182" s="74"/>
    </row>
    <row r="183" spans="3:3" s="73" customFormat="1" x14ac:dyDescent="0.25">
      <c r="C183" s="74"/>
    </row>
    <row r="184" spans="3:3" s="73" customFormat="1" x14ac:dyDescent="0.25">
      <c r="C184" s="74"/>
    </row>
    <row r="185" spans="3:3" s="73" customFormat="1" x14ac:dyDescent="0.25">
      <c r="C185" s="74"/>
    </row>
    <row r="186" spans="3:3" s="73" customFormat="1" x14ac:dyDescent="0.25">
      <c r="C186" s="74"/>
    </row>
    <row r="187" spans="3:3" s="73" customFormat="1" x14ac:dyDescent="0.25">
      <c r="C187" s="74"/>
    </row>
    <row r="188" spans="3:3" s="73" customFormat="1" x14ac:dyDescent="0.25">
      <c r="C188" s="74"/>
    </row>
    <row r="189" spans="3:3" s="73" customFormat="1" x14ac:dyDescent="0.25">
      <c r="C189" s="74"/>
    </row>
    <row r="190" spans="3:3" s="73" customFormat="1" x14ac:dyDescent="0.25">
      <c r="C190" s="74"/>
    </row>
    <row r="191" spans="3:3" s="73" customFormat="1" x14ac:dyDescent="0.25">
      <c r="C191" s="74"/>
    </row>
    <row r="192" spans="3:3" s="73" customFormat="1" x14ac:dyDescent="0.25">
      <c r="C192" s="74"/>
    </row>
    <row r="193" spans="3:3" s="73" customFormat="1" x14ac:dyDescent="0.25">
      <c r="C193" s="74"/>
    </row>
    <row r="194" spans="3:3" s="73" customFormat="1" x14ac:dyDescent="0.25">
      <c r="C194" s="74"/>
    </row>
    <row r="195" spans="3:3" s="73" customFormat="1" x14ac:dyDescent="0.25">
      <c r="C195" s="74"/>
    </row>
    <row r="196" spans="3:3" s="73" customFormat="1" x14ac:dyDescent="0.25">
      <c r="C196" s="74"/>
    </row>
    <row r="197" spans="3:3" s="73" customFormat="1" x14ac:dyDescent="0.25">
      <c r="C197" s="74"/>
    </row>
    <row r="198" spans="3:3" s="73" customFormat="1" x14ac:dyDescent="0.25">
      <c r="C198" s="74"/>
    </row>
    <row r="199" spans="3:3" s="73" customFormat="1" x14ac:dyDescent="0.25">
      <c r="C199" s="74"/>
    </row>
    <row r="200" spans="3:3" s="73" customFormat="1" x14ac:dyDescent="0.25">
      <c r="C200" s="74"/>
    </row>
    <row r="201" spans="3:3" s="73" customFormat="1" x14ac:dyDescent="0.25">
      <c r="C201" s="74"/>
    </row>
    <row r="202" spans="3:3" s="73" customFormat="1" x14ac:dyDescent="0.25">
      <c r="C202" s="74"/>
    </row>
    <row r="203" spans="3:3" s="73" customFormat="1" x14ac:dyDescent="0.25">
      <c r="C203" s="74"/>
    </row>
    <row r="204" spans="3:3" s="73" customFormat="1" x14ac:dyDescent="0.25">
      <c r="C204" s="74"/>
    </row>
    <row r="205" spans="3:3" s="73" customFormat="1" x14ac:dyDescent="0.25">
      <c r="C205" s="74"/>
    </row>
    <row r="206" spans="3:3" s="73" customFormat="1" x14ac:dyDescent="0.25">
      <c r="C206" s="74"/>
    </row>
    <row r="207" spans="3:3" s="73" customFormat="1" x14ac:dyDescent="0.25">
      <c r="C207" s="74"/>
    </row>
    <row r="208" spans="3:3" s="73" customFormat="1" x14ac:dyDescent="0.25">
      <c r="C208" s="74"/>
    </row>
    <row r="209" spans="3:3" s="73" customFormat="1" x14ac:dyDescent="0.25">
      <c r="C209" s="74"/>
    </row>
    <row r="210" spans="3:3" s="73" customFormat="1" x14ac:dyDescent="0.25">
      <c r="C210" s="74"/>
    </row>
    <row r="211" spans="3:3" s="73" customFormat="1" x14ac:dyDescent="0.25">
      <c r="C211" s="74"/>
    </row>
    <row r="212" spans="3:3" s="73" customFormat="1" x14ac:dyDescent="0.25">
      <c r="C212" s="74"/>
    </row>
    <row r="213" spans="3:3" s="73" customFormat="1" x14ac:dyDescent="0.25">
      <c r="C213" s="74"/>
    </row>
    <row r="214" spans="3:3" s="73" customFormat="1" x14ac:dyDescent="0.25">
      <c r="C214" s="74"/>
    </row>
    <row r="215" spans="3:3" s="73" customFormat="1" x14ac:dyDescent="0.25">
      <c r="C215" s="74"/>
    </row>
    <row r="216" spans="3:3" s="73" customFormat="1" x14ac:dyDescent="0.25">
      <c r="C216" s="74"/>
    </row>
    <row r="217" spans="3:3" s="73" customFormat="1" x14ac:dyDescent="0.25">
      <c r="C217" s="74"/>
    </row>
    <row r="218" spans="3:3" s="73" customFormat="1" x14ac:dyDescent="0.25">
      <c r="C218" s="74"/>
    </row>
    <row r="219" spans="3:3" s="73" customFormat="1" x14ac:dyDescent="0.25">
      <c r="C219" s="74"/>
    </row>
    <row r="220" spans="3:3" s="73" customFormat="1" x14ac:dyDescent="0.25">
      <c r="C220" s="74"/>
    </row>
    <row r="221" spans="3:3" s="73" customFormat="1" x14ac:dyDescent="0.25">
      <c r="C221" s="74"/>
    </row>
    <row r="222" spans="3:3" s="73" customFormat="1" x14ac:dyDescent="0.25">
      <c r="C222" s="74"/>
    </row>
    <row r="223" spans="3:3" s="73" customFormat="1" x14ac:dyDescent="0.25">
      <c r="C223" s="74"/>
    </row>
    <row r="224" spans="3:3" s="73" customFormat="1" x14ac:dyDescent="0.25">
      <c r="C224" s="74"/>
    </row>
    <row r="225" spans="3:3" s="73" customFormat="1" x14ac:dyDescent="0.25">
      <c r="C225" s="74"/>
    </row>
    <row r="226" spans="3:3" s="73" customFormat="1" x14ac:dyDescent="0.25">
      <c r="C226" s="74"/>
    </row>
    <row r="227" spans="3:3" s="73" customFormat="1" x14ac:dyDescent="0.25">
      <c r="C227" s="74"/>
    </row>
    <row r="228" spans="3:3" s="73" customFormat="1" x14ac:dyDescent="0.25">
      <c r="C228" s="74"/>
    </row>
    <row r="229" spans="3:3" s="73" customFormat="1" x14ac:dyDescent="0.25">
      <c r="C229" s="74"/>
    </row>
    <row r="230" spans="3:3" s="73" customFormat="1" x14ac:dyDescent="0.25">
      <c r="C230" s="74"/>
    </row>
    <row r="231" spans="3:3" s="73" customFormat="1" x14ac:dyDescent="0.25">
      <c r="C231" s="74"/>
    </row>
    <row r="232" spans="3:3" s="73" customFormat="1" x14ac:dyDescent="0.25">
      <c r="C232" s="74"/>
    </row>
    <row r="233" spans="3:3" s="73" customFormat="1" x14ac:dyDescent="0.25">
      <c r="C233" s="74"/>
    </row>
    <row r="234" spans="3:3" s="73" customFormat="1" x14ac:dyDescent="0.25">
      <c r="C234" s="74"/>
    </row>
    <row r="235" spans="3:3" s="73" customFormat="1" x14ac:dyDescent="0.25">
      <c r="C235" s="74"/>
    </row>
    <row r="236" spans="3:3" s="73" customFormat="1" x14ac:dyDescent="0.25">
      <c r="C236" s="74"/>
    </row>
    <row r="237" spans="3:3" s="73" customFormat="1" x14ac:dyDescent="0.25">
      <c r="C237" s="74"/>
    </row>
    <row r="238" spans="3:3" s="73" customFormat="1" x14ac:dyDescent="0.25">
      <c r="C238" s="74"/>
    </row>
    <row r="239" spans="3:3" s="73" customFormat="1" x14ac:dyDescent="0.25">
      <c r="C239" s="74"/>
    </row>
    <row r="240" spans="3:3" s="73" customFormat="1" x14ac:dyDescent="0.25">
      <c r="C240" s="74"/>
    </row>
    <row r="241" spans="3:3" s="73" customFormat="1" x14ac:dyDescent="0.25">
      <c r="C241" s="74"/>
    </row>
    <row r="242" spans="3:3" s="73" customFormat="1" x14ac:dyDescent="0.25">
      <c r="C242" s="74"/>
    </row>
    <row r="243" spans="3:3" s="73" customFormat="1" x14ac:dyDescent="0.25">
      <c r="C243" s="74"/>
    </row>
    <row r="244" spans="3:3" s="73" customFormat="1" x14ac:dyDescent="0.25">
      <c r="C244" s="74"/>
    </row>
    <row r="245" spans="3:3" s="73" customFormat="1" x14ac:dyDescent="0.25">
      <c r="C245" s="74"/>
    </row>
    <row r="246" spans="3:3" s="73" customFormat="1" x14ac:dyDescent="0.25">
      <c r="C246" s="74"/>
    </row>
    <row r="247" spans="3:3" s="73" customFormat="1" x14ac:dyDescent="0.25">
      <c r="C247" s="74"/>
    </row>
    <row r="248" spans="3:3" s="73" customFormat="1" x14ac:dyDescent="0.25">
      <c r="C248" s="74"/>
    </row>
    <row r="249" spans="3:3" s="73" customFormat="1" x14ac:dyDescent="0.25">
      <c r="C249" s="74"/>
    </row>
    <row r="250" spans="3:3" s="73" customFormat="1" x14ac:dyDescent="0.25">
      <c r="C250" s="74"/>
    </row>
    <row r="251" spans="3:3" s="73" customFormat="1" x14ac:dyDescent="0.25">
      <c r="C251" s="74"/>
    </row>
    <row r="252" spans="3:3" s="73" customFormat="1" x14ac:dyDescent="0.25">
      <c r="C252" s="74"/>
    </row>
    <row r="253" spans="3:3" s="73" customFormat="1" x14ac:dyDescent="0.25">
      <c r="C253" s="74"/>
    </row>
    <row r="254" spans="3:3" s="73" customFormat="1" x14ac:dyDescent="0.25">
      <c r="C254" s="74"/>
    </row>
    <row r="255" spans="3:3" s="73" customFormat="1" x14ac:dyDescent="0.25">
      <c r="C255" s="74"/>
    </row>
    <row r="256" spans="3:3" s="73" customFormat="1" x14ac:dyDescent="0.25">
      <c r="C256" s="74"/>
    </row>
    <row r="257" spans="3:3" s="73" customFormat="1" x14ac:dyDescent="0.25">
      <c r="C257" s="74"/>
    </row>
    <row r="258" spans="3:3" s="73" customFormat="1" x14ac:dyDescent="0.25">
      <c r="C258" s="74"/>
    </row>
    <row r="259" spans="3:3" s="73" customFormat="1" x14ac:dyDescent="0.25">
      <c r="C259" s="74"/>
    </row>
    <row r="260" spans="3:3" s="73" customFormat="1" x14ac:dyDescent="0.25">
      <c r="C260" s="74"/>
    </row>
    <row r="261" spans="3:3" s="73" customFormat="1" x14ac:dyDescent="0.25">
      <c r="C261" s="74"/>
    </row>
    <row r="262" spans="3:3" s="73" customFormat="1" x14ac:dyDescent="0.25">
      <c r="C262" s="74"/>
    </row>
    <row r="263" spans="3:3" s="73" customFormat="1" x14ac:dyDescent="0.25">
      <c r="C263" s="74"/>
    </row>
    <row r="264" spans="3:3" s="73" customFormat="1" x14ac:dyDescent="0.25">
      <c r="C264" s="74"/>
    </row>
    <row r="265" spans="3:3" s="73" customFormat="1" x14ac:dyDescent="0.25">
      <c r="C265" s="74"/>
    </row>
    <row r="266" spans="3:3" s="73" customFormat="1" x14ac:dyDescent="0.25">
      <c r="C266" s="74"/>
    </row>
    <row r="267" spans="3:3" s="73" customFormat="1" x14ac:dyDescent="0.25">
      <c r="C267" s="74"/>
    </row>
    <row r="268" spans="3:3" s="73" customFormat="1" x14ac:dyDescent="0.25">
      <c r="C268" s="74"/>
    </row>
    <row r="269" spans="3:3" s="73" customFormat="1" x14ac:dyDescent="0.25">
      <c r="C269" s="74"/>
    </row>
    <row r="270" spans="3:3" s="73" customFormat="1" x14ac:dyDescent="0.25">
      <c r="C270" s="74"/>
    </row>
    <row r="271" spans="3:3" s="73" customFormat="1" x14ac:dyDescent="0.25">
      <c r="C271" s="74"/>
    </row>
    <row r="272" spans="3:3" s="73" customFormat="1" x14ac:dyDescent="0.25">
      <c r="C272" s="74"/>
    </row>
    <row r="273" spans="3:3" s="73" customFormat="1" x14ac:dyDescent="0.25">
      <c r="C273" s="74"/>
    </row>
    <row r="274" spans="3:3" s="73" customFormat="1" x14ac:dyDescent="0.25">
      <c r="C274" s="74"/>
    </row>
    <row r="275" spans="3:3" s="73" customFormat="1" x14ac:dyDescent="0.25">
      <c r="C275" s="74"/>
    </row>
    <row r="276" spans="3:3" s="73" customFormat="1" x14ac:dyDescent="0.25">
      <c r="C276" s="74"/>
    </row>
    <row r="277" spans="3:3" s="73" customFormat="1" x14ac:dyDescent="0.25">
      <c r="C277" s="74"/>
    </row>
    <row r="278" spans="3:3" s="73" customFormat="1" x14ac:dyDescent="0.25">
      <c r="C278" s="74"/>
    </row>
    <row r="279" spans="3:3" s="73" customFormat="1" x14ac:dyDescent="0.25">
      <c r="C279" s="74"/>
    </row>
    <row r="280" spans="3:3" s="73" customFormat="1" x14ac:dyDescent="0.25">
      <c r="C280" s="74"/>
    </row>
    <row r="281" spans="3:3" s="73" customFormat="1" x14ac:dyDescent="0.25">
      <c r="C281" s="74"/>
    </row>
    <row r="282" spans="3:3" s="73" customFormat="1" x14ac:dyDescent="0.25">
      <c r="C282" s="74"/>
    </row>
    <row r="283" spans="3:3" s="73" customFormat="1" x14ac:dyDescent="0.25">
      <c r="C283" s="74"/>
    </row>
    <row r="284" spans="3:3" s="73" customFormat="1" x14ac:dyDescent="0.25">
      <c r="C284" s="74"/>
    </row>
    <row r="285" spans="3:3" s="73" customFormat="1" x14ac:dyDescent="0.25">
      <c r="C285" s="74"/>
    </row>
    <row r="286" spans="3:3" s="73" customFormat="1" x14ac:dyDescent="0.25">
      <c r="C286" s="74"/>
    </row>
    <row r="287" spans="3:3" s="73" customFormat="1" x14ac:dyDescent="0.25">
      <c r="C287" s="74"/>
    </row>
    <row r="288" spans="3:3" s="73" customFormat="1" x14ac:dyDescent="0.25">
      <c r="C288" s="74"/>
    </row>
    <row r="289" spans="3:3" s="73" customFormat="1" x14ac:dyDescent="0.25">
      <c r="C289" s="74"/>
    </row>
    <row r="290" spans="3:3" s="73" customFormat="1" x14ac:dyDescent="0.25">
      <c r="C290" s="74"/>
    </row>
    <row r="291" spans="3:3" s="73" customFormat="1" x14ac:dyDescent="0.25">
      <c r="C291" s="74"/>
    </row>
    <row r="292" spans="3:3" s="73" customFormat="1" x14ac:dyDescent="0.25">
      <c r="C292" s="74"/>
    </row>
    <row r="293" spans="3:3" s="73" customFormat="1" x14ac:dyDescent="0.25">
      <c r="C293" s="74"/>
    </row>
    <row r="294" spans="3:3" s="73" customFormat="1" x14ac:dyDescent="0.25">
      <c r="C294" s="74"/>
    </row>
    <row r="295" spans="3:3" s="73" customFormat="1" x14ac:dyDescent="0.25">
      <c r="C295" s="74"/>
    </row>
    <row r="296" spans="3:3" s="73" customFormat="1" x14ac:dyDescent="0.25">
      <c r="C296" s="74"/>
    </row>
    <row r="297" spans="3:3" s="73" customFormat="1" x14ac:dyDescent="0.25">
      <c r="C297" s="74"/>
    </row>
    <row r="298" spans="3:3" s="73" customFormat="1" x14ac:dyDescent="0.25">
      <c r="C298" s="74"/>
    </row>
    <row r="299" spans="3:3" s="73" customFormat="1" x14ac:dyDescent="0.25">
      <c r="C299" s="74"/>
    </row>
    <row r="300" spans="3:3" s="73" customFormat="1" x14ac:dyDescent="0.25">
      <c r="C300" s="74"/>
    </row>
    <row r="301" spans="3:3" s="73" customFormat="1" x14ac:dyDescent="0.25">
      <c r="C301" s="74"/>
    </row>
    <row r="302" spans="3:3" s="73" customFormat="1" x14ac:dyDescent="0.25">
      <c r="C302" s="74"/>
    </row>
    <row r="303" spans="3:3" s="73" customFormat="1" x14ac:dyDescent="0.25">
      <c r="C303" s="74"/>
    </row>
    <row r="304" spans="3:3" s="73" customFormat="1" x14ac:dyDescent="0.25">
      <c r="C304" s="74"/>
    </row>
    <row r="305" spans="3:3" s="73" customFormat="1" x14ac:dyDescent="0.25">
      <c r="C305" s="74"/>
    </row>
    <row r="306" spans="3:3" s="73" customFormat="1" x14ac:dyDescent="0.25">
      <c r="C306" s="74"/>
    </row>
    <row r="307" spans="3:3" s="73" customFormat="1" x14ac:dyDescent="0.25">
      <c r="C307" s="74"/>
    </row>
    <row r="308" spans="3:3" s="73" customFormat="1" x14ac:dyDescent="0.25">
      <c r="C308" s="74"/>
    </row>
    <row r="309" spans="3:3" s="73" customFormat="1" x14ac:dyDescent="0.25">
      <c r="C309" s="74"/>
    </row>
    <row r="310" spans="3:3" s="73" customFormat="1" x14ac:dyDescent="0.25">
      <c r="C310" s="74"/>
    </row>
    <row r="311" spans="3:3" s="73" customFormat="1" x14ac:dyDescent="0.25">
      <c r="C311" s="74"/>
    </row>
    <row r="312" spans="3:3" s="73" customFormat="1" x14ac:dyDescent="0.25">
      <c r="C312" s="74"/>
    </row>
    <row r="313" spans="3:3" s="73" customFormat="1" x14ac:dyDescent="0.25">
      <c r="C313" s="74"/>
    </row>
    <row r="314" spans="3:3" s="73" customFormat="1" x14ac:dyDescent="0.25">
      <c r="C314" s="74"/>
    </row>
    <row r="315" spans="3:3" s="73" customFormat="1" x14ac:dyDescent="0.25">
      <c r="C315" s="74"/>
    </row>
    <row r="316" spans="3:3" s="73" customFormat="1" x14ac:dyDescent="0.25">
      <c r="C316" s="74"/>
    </row>
    <row r="317" spans="3:3" s="73" customFormat="1" x14ac:dyDescent="0.25">
      <c r="C317" s="74"/>
    </row>
    <row r="318" spans="3:3" s="73" customFormat="1" x14ac:dyDescent="0.25">
      <c r="C318" s="74"/>
    </row>
    <row r="319" spans="3:3" s="73" customFormat="1" x14ac:dyDescent="0.25">
      <c r="C319" s="74"/>
    </row>
    <row r="320" spans="3:3" s="73" customFormat="1" x14ac:dyDescent="0.25">
      <c r="C320" s="74"/>
    </row>
    <row r="321" spans="3:3" s="73" customFormat="1" x14ac:dyDescent="0.25">
      <c r="C321" s="74"/>
    </row>
    <row r="322" spans="3:3" s="73" customFormat="1" x14ac:dyDescent="0.25">
      <c r="C322" s="74"/>
    </row>
    <row r="323" spans="3:3" s="73" customFormat="1" x14ac:dyDescent="0.25">
      <c r="C323" s="74"/>
    </row>
    <row r="324" spans="3:3" s="73" customFormat="1" x14ac:dyDescent="0.25">
      <c r="C324" s="74"/>
    </row>
    <row r="325" spans="3:3" s="73" customFormat="1" x14ac:dyDescent="0.25">
      <c r="C325" s="74"/>
    </row>
    <row r="326" spans="3:3" s="73" customFormat="1" x14ac:dyDescent="0.25">
      <c r="C326" s="74"/>
    </row>
    <row r="327" spans="3:3" s="73" customFormat="1" x14ac:dyDescent="0.25">
      <c r="C327" s="74"/>
    </row>
    <row r="328" spans="3:3" s="73" customFormat="1" x14ac:dyDescent="0.25">
      <c r="C328" s="74"/>
    </row>
    <row r="329" spans="3:3" s="73" customFormat="1" x14ac:dyDescent="0.25">
      <c r="C329" s="74"/>
    </row>
    <row r="330" spans="3:3" s="73" customFormat="1" x14ac:dyDescent="0.25">
      <c r="C330" s="74"/>
    </row>
    <row r="331" spans="3:3" s="73" customFormat="1" x14ac:dyDescent="0.25">
      <c r="C331" s="74"/>
    </row>
    <row r="332" spans="3:3" s="73" customFormat="1" x14ac:dyDescent="0.25">
      <c r="C332" s="74"/>
    </row>
    <row r="333" spans="3:3" s="73" customFormat="1" x14ac:dyDescent="0.25">
      <c r="C333" s="74"/>
    </row>
    <row r="334" spans="3:3" s="73" customFormat="1" x14ac:dyDescent="0.25">
      <c r="C334" s="74"/>
    </row>
    <row r="335" spans="3:3" s="73" customFormat="1" x14ac:dyDescent="0.25">
      <c r="C335" s="74"/>
    </row>
    <row r="336" spans="3:3" s="73" customFormat="1" x14ac:dyDescent="0.25">
      <c r="C336" s="74"/>
    </row>
    <row r="337" spans="3:3" s="73" customFormat="1" x14ac:dyDescent="0.25">
      <c r="C337" s="74"/>
    </row>
    <row r="338" spans="3:3" s="73" customFormat="1" x14ac:dyDescent="0.25">
      <c r="C338" s="74"/>
    </row>
    <row r="339" spans="3:3" s="73" customFormat="1" x14ac:dyDescent="0.25">
      <c r="C339" s="74"/>
    </row>
    <row r="340" spans="3:3" s="73" customFormat="1" x14ac:dyDescent="0.25">
      <c r="C340" s="74"/>
    </row>
    <row r="341" spans="3:3" s="73" customFormat="1" x14ac:dyDescent="0.25">
      <c r="C341" s="74"/>
    </row>
    <row r="342" spans="3:3" s="73" customFormat="1" x14ac:dyDescent="0.25">
      <c r="C342" s="74"/>
    </row>
    <row r="343" spans="3:3" s="73" customFormat="1" x14ac:dyDescent="0.25">
      <c r="C343" s="74"/>
    </row>
    <row r="344" spans="3:3" s="73" customFormat="1" x14ac:dyDescent="0.25">
      <c r="C344" s="74"/>
    </row>
    <row r="345" spans="3:3" s="73" customFormat="1" x14ac:dyDescent="0.25">
      <c r="C345" s="74"/>
    </row>
    <row r="346" spans="3:3" s="73" customFormat="1" x14ac:dyDescent="0.25">
      <c r="C346" s="74"/>
    </row>
    <row r="347" spans="3:3" s="73" customFormat="1" x14ac:dyDescent="0.25">
      <c r="C347" s="74"/>
    </row>
    <row r="348" spans="3:3" s="73" customFormat="1" x14ac:dyDescent="0.25">
      <c r="C348" s="74"/>
    </row>
    <row r="349" spans="3:3" s="73" customFormat="1" x14ac:dyDescent="0.25">
      <c r="C349" s="74"/>
    </row>
    <row r="350" spans="3:3" s="73" customFormat="1" x14ac:dyDescent="0.25">
      <c r="C350" s="74"/>
    </row>
    <row r="351" spans="3:3" s="73" customFormat="1" x14ac:dyDescent="0.25">
      <c r="C351" s="74"/>
    </row>
    <row r="352" spans="3:3" s="73" customFormat="1" x14ac:dyDescent="0.25">
      <c r="C352" s="74"/>
    </row>
    <row r="353" spans="3:3" s="73" customFormat="1" x14ac:dyDescent="0.25">
      <c r="C353" s="74"/>
    </row>
    <row r="354" spans="3:3" s="73" customFormat="1" x14ac:dyDescent="0.25">
      <c r="C354" s="74"/>
    </row>
    <row r="355" spans="3:3" s="73" customFormat="1" x14ac:dyDescent="0.25">
      <c r="C355" s="74"/>
    </row>
    <row r="356" spans="3:3" s="73" customFormat="1" x14ac:dyDescent="0.25">
      <c r="C356" s="74"/>
    </row>
    <row r="357" spans="3:3" s="73" customFormat="1" x14ac:dyDescent="0.25">
      <c r="C357" s="74"/>
    </row>
    <row r="358" spans="3:3" s="73" customFormat="1" x14ac:dyDescent="0.25">
      <c r="C358" s="74"/>
    </row>
    <row r="359" spans="3:3" s="73" customFormat="1" x14ac:dyDescent="0.25">
      <c r="C359" s="74"/>
    </row>
    <row r="360" spans="3:3" s="73" customFormat="1" x14ac:dyDescent="0.25">
      <c r="C360" s="74"/>
    </row>
    <row r="361" spans="3:3" s="73" customFormat="1" x14ac:dyDescent="0.25">
      <c r="C361" s="74"/>
    </row>
    <row r="362" spans="3:3" s="73" customFormat="1" x14ac:dyDescent="0.25">
      <c r="C362" s="74"/>
    </row>
    <row r="363" spans="3:3" s="73" customFormat="1" x14ac:dyDescent="0.25">
      <c r="C363" s="74"/>
    </row>
    <row r="364" spans="3:3" s="73" customFormat="1" x14ac:dyDescent="0.25">
      <c r="C364" s="74"/>
    </row>
    <row r="365" spans="3:3" s="73" customFormat="1" x14ac:dyDescent="0.25">
      <c r="C365" s="74"/>
    </row>
    <row r="366" spans="3:3" s="73" customFormat="1" x14ac:dyDescent="0.25">
      <c r="C366" s="74"/>
    </row>
    <row r="367" spans="3:3" s="73" customFormat="1" x14ac:dyDescent="0.25">
      <c r="C367" s="74"/>
    </row>
    <row r="368" spans="3:3" s="73" customFormat="1" x14ac:dyDescent="0.25">
      <c r="C368" s="74"/>
    </row>
    <row r="369" spans="3:3" s="73" customFormat="1" x14ac:dyDescent="0.25">
      <c r="C369" s="74"/>
    </row>
    <row r="370" spans="3:3" s="73" customFormat="1" x14ac:dyDescent="0.25">
      <c r="C370" s="74"/>
    </row>
    <row r="371" spans="3:3" s="73" customFormat="1" x14ac:dyDescent="0.25">
      <c r="C371" s="74"/>
    </row>
    <row r="372" spans="3:3" s="73" customFormat="1" x14ac:dyDescent="0.25">
      <c r="C372" s="74"/>
    </row>
    <row r="373" spans="3:3" s="73" customFormat="1" x14ac:dyDescent="0.25">
      <c r="C373" s="74"/>
    </row>
    <row r="374" spans="3:3" s="73" customFormat="1" x14ac:dyDescent="0.25">
      <c r="C374" s="74"/>
    </row>
    <row r="375" spans="3:3" s="73" customFormat="1" x14ac:dyDescent="0.25">
      <c r="C375" s="74"/>
    </row>
    <row r="376" spans="3:3" s="73" customFormat="1" x14ac:dyDescent="0.25">
      <c r="C376" s="74"/>
    </row>
    <row r="377" spans="3:3" s="73" customFormat="1" x14ac:dyDescent="0.25">
      <c r="C377" s="74"/>
    </row>
    <row r="378" spans="3:3" s="73" customFormat="1" x14ac:dyDescent="0.25">
      <c r="C378" s="74"/>
    </row>
    <row r="379" spans="3:3" s="73" customFormat="1" x14ac:dyDescent="0.25">
      <c r="C379" s="74"/>
    </row>
    <row r="380" spans="3:3" s="73" customFormat="1" x14ac:dyDescent="0.25">
      <c r="C380" s="74"/>
    </row>
    <row r="381" spans="3:3" s="73" customFormat="1" x14ac:dyDescent="0.25">
      <c r="C381" s="74"/>
    </row>
    <row r="382" spans="3:3" s="73" customFormat="1" x14ac:dyDescent="0.25">
      <c r="C382" s="74"/>
    </row>
    <row r="383" spans="3:3" s="73" customFormat="1" x14ac:dyDescent="0.25">
      <c r="C383" s="74"/>
    </row>
    <row r="384" spans="3:3" s="73" customFormat="1" x14ac:dyDescent="0.25">
      <c r="C384" s="74"/>
    </row>
    <row r="385" spans="3:3" s="73" customFormat="1" x14ac:dyDescent="0.25">
      <c r="C385" s="74"/>
    </row>
    <row r="386" spans="3:3" s="73" customFormat="1" x14ac:dyDescent="0.25">
      <c r="C386" s="74"/>
    </row>
    <row r="387" spans="3:3" s="73" customFormat="1" x14ac:dyDescent="0.25">
      <c r="C387" s="74"/>
    </row>
    <row r="388" spans="3:3" s="73" customFormat="1" x14ac:dyDescent="0.25">
      <c r="C388" s="74"/>
    </row>
    <row r="389" spans="3:3" s="73" customFormat="1" x14ac:dyDescent="0.25">
      <c r="C389" s="74"/>
    </row>
    <row r="390" spans="3:3" s="73" customFormat="1" x14ac:dyDescent="0.25">
      <c r="C390" s="74"/>
    </row>
    <row r="391" spans="3:3" s="73" customFormat="1" x14ac:dyDescent="0.25">
      <c r="C391" s="74"/>
    </row>
    <row r="392" spans="3:3" s="73" customFormat="1" x14ac:dyDescent="0.25">
      <c r="C392" s="74"/>
    </row>
    <row r="393" spans="3:3" s="73" customFormat="1" x14ac:dyDescent="0.25">
      <c r="C393" s="74"/>
    </row>
    <row r="394" spans="3:3" s="73" customFormat="1" x14ac:dyDescent="0.25">
      <c r="C394" s="74"/>
    </row>
    <row r="395" spans="3:3" s="73" customFormat="1" x14ac:dyDescent="0.25">
      <c r="C395" s="74"/>
    </row>
    <row r="396" spans="3:3" s="73" customFormat="1" x14ac:dyDescent="0.25">
      <c r="C396" s="74"/>
    </row>
    <row r="397" spans="3:3" s="73" customFormat="1" x14ac:dyDescent="0.25">
      <c r="C397" s="74"/>
    </row>
    <row r="398" spans="3:3" s="73" customFormat="1" x14ac:dyDescent="0.25">
      <c r="C398" s="74"/>
    </row>
    <row r="399" spans="3:3" s="73" customFormat="1" x14ac:dyDescent="0.25">
      <c r="C399" s="74"/>
    </row>
    <row r="400" spans="3:3" s="73" customFormat="1" x14ac:dyDescent="0.25">
      <c r="C400" s="74"/>
    </row>
    <row r="401" spans="3:3" s="73" customFormat="1" x14ac:dyDescent="0.25">
      <c r="C401" s="74"/>
    </row>
    <row r="402" spans="3:3" s="73" customFormat="1" x14ac:dyDescent="0.25">
      <c r="C402" s="74"/>
    </row>
    <row r="403" spans="3:3" s="73" customFormat="1" x14ac:dyDescent="0.25">
      <c r="C403" s="74"/>
    </row>
    <row r="404" spans="3:3" s="73" customFormat="1" x14ac:dyDescent="0.25">
      <c r="C404" s="74"/>
    </row>
    <row r="405" spans="3:3" s="73" customFormat="1" x14ac:dyDescent="0.25">
      <c r="C405" s="74"/>
    </row>
    <row r="406" spans="3:3" s="73" customFormat="1" x14ac:dyDescent="0.25">
      <c r="C406" s="74"/>
    </row>
    <row r="407" spans="3:3" s="73" customFormat="1" x14ac:dyDescent="0.25">
      <c r="C407" s="74"/>
    </row>
    <row r="408" spans="3:3" s="73" customFormat="1" x14ac:dyDescent="0.25">
      <c r="C408" s="74"/>
    </row>
    <row r="409" spans="3:3" s="73" customFormat="1" x14ac:dyDescent="0.25">
      <c r="C409" s="74"/>
    </row>
    <row r="410" spans="3:3" s="73" customFormat="1" x14ac:dyDescent="0.25">
      <c r="C410" s="74"/>
    </row>
    <row r="411" spans="3:3" s="73" customFormat="1" x14ac:dyDescent="0.25">
      <c r="C411" s="74"/>
    </row>
    <row r="412" spans="3:3" s="73" customFormat="1" x14ac:dyDescent="0.25">
      <c r="C412" s="74"/>
    </row>
    <row r="413" spans="3:3" s="73" customFormat="1" x14ac:dyDescent="0.25">
      <c r="C413" s="74"/>
    </row>
    <row r="414" spans="3:3" s="73" customFormat="1" x14ac:dyDescent="0.25">
      <c r="C414" s="74"/>
    </row>
    <row r="415" spans="3:3" s="73" customFormat="1" x14ac:dyDescent="0.25">
      <c r="C415" s="74"/>
    </row>
    <row r="416" spans="3:3" s="73" customFormat="1" x14ac:dyDescent="0.25">
      <c r="C416" s="74"/>
    </row>
    <row r="417" spans="3:3" s="73" customFormat="1" x14ac:dyDescent="0.25">
      <c r="C417" s="74"/>
    </row>
    <row r="418" spans="3:3" s="73" customFormat="1" x14ac:dyDescent="0.25">
      <c r="C418" s="74"/>
    </row>
    <row r="419" spans="3:3" s="73" customFormat="1" x14ac:dyDescent="0.25">
      <c r="C419" s="74"/>
    </row>
    <row r="420" spans="3:3" s="73" customFormat="1" x14ac:dyDescent="0.25">
      <c r="C420" s="74"/>
    </row>
    <row r="421" spans="3:3" s="73" customFormat="1" x14ac:dyDescent="0.25">
      <c r="C421" s="74"/>
    </row>
    <row r="422" spans="3:3" s="73" customFormat="1" x14ac:dyDescent="0.25">
      <c r="C422" s="74"/>
    </row>
    <row r="423" spans="3:3" s="73" customFormat="1" x14ac:dyDescent="0.25">
      <c r="C423" s="74"/>
    </row>
    <row r="424" spans="3:3" s="73" customFormat="1" x14ac:dyDescent="0.25">
      <c r="C424" s="74"/>
    </row>
    <row r="425" spans="3:3" s="73" customFormat="1" x14ac:dyDescent="0.25">
      <c r="C425" s="74"/>
    </row>
    <row r="426" spans="3:3" s="73" customFormat="1" x14ac:dyDescent="0.25">
      <c r="C426" s="74"/>
    </row>
    <row r="427" spans="3:3" s="73" customFormat="1" x14ac:dyDescent="0.25">
      <c r="C427" s="74"/>
    </row>
    <row r="428" spans="3:3" s="73" customFormat="1" x14ac:dyDescent="0.25">
      <c r="C428" s="74"/>
    </row>
    <row r="429" spans="3:3" s="73" customFormat="1" x14ac:dyDescent="0.25">
      <c r="C429" s="74"/>
    </row>
    <row r="430" spans="3:3" s="73" customFormat="1" x14ac:dyDescent="0.25">
      <c r="C430" s="74"/>
    </row>
    <row r="431" spans="3:3" s="73" customFormat="1" x14ac:dyDescent="0.25">
      <c r="C431" s="74"/>
    </row>
    <row r="432" spans="3:3" s="73" customFormat="1" x14ac:dyDescent="0.25">
      <c r="C432" s="74"/>
    </row>
    <row r="433" spans="3:3" s="73" customFormat="1" x14ac:dyDescent="0.25">
      <c r="C433" s="74"/>
    </row>
    <row r="434" spans="3:3" s="73" customFormat="1" x14ac:dyDescent="0.25">
      <c r="C434" s="74"/>
    </row>
    <row r="435" spans="3:3" s="73" customFormat="1" x14ac:dyDescent="0.25">
      <c r="C435" s="74"/>
    </row>
    <row r="436" spans="3:3" s="73" customFormat="1" x14ac:dyDescent="0.25">
      <c r="C436" s="74"/>
    </row>
    <row r="437" spans="3:3" s="73" customFormat="1" x14ac:dyDescent="0.25">
      <c r="C437" s="74"/>
    </row>
    <row r="438" spans="3:3" s="73" customFormat="1" x14ac:dyDescent="0.25">
      <c r="C438" s="74"/>
    </row>
    <row r="439" spans="3:3" s="73" customFormat="1" x14ac:dyDescent="0.25">
      <c r="C439" s="74"/>
    </row>
    <row r="440" spans="3:3" s="73" customFormat="1" x14ac:dyDescent="0.25">
      <c r="C440" s="74"/>
    </row>
    <row r="441" spans="3:3" s="73" customFormat="1" x14ac:dyDescent="0.25">
      <c r="C441" s="74"/>
    </row>
    <row r="442" spans="3:3" s="73" customFormat="1" x14ac:dyDescent="0.25">
      <c r="C442" s="74"/>
    </row>
    <row r="443" spans="3:3" s="73" customFormat="1" x14ac:dyDescent="0.25">
      <c r="C443" s="74"/>
    </row>
    <row r="444" spans="3:3" s="73" customFormat="1" x14ac:dyDescent="0.25">
      <c r="C444" s="74"/>
    </row>
    <row r="445" spans="3:3" s="73" customFormat="1" x14ac:dyDescent="0.25">
      <c r="C445" s="74"/>
    </row>
    <row r="446" spans="3:3" s="73" customFormat="1" x14ac:dyDescent="0.25">
      <c r="C446" s="74"/>
    </row>
    <row r="447" spans="3:3" s="73" customFormat="1" x14ac:dyDescent="0.25">
      <c r="C447" s="74"/>
    </row>
    <row r="448" spans="3:3" s="73" customFormat="1" x14ac:dyDescent="0.25">
      <c r="C448" s="74"/>
    </row>
    <row r="449" spans="3:3" s="73" customFormat="1" x14ac:dyDescent="0.25">
      <c r="C449" s="74"/>
    </row>
    <row r="450" spans="3:3" s="73" customFormat="1" x14ac:dyDescent="0.25">
      <c r="C450" s="74"/>
    </row>
    <row r="451" spans="3:3" s="73" customFormat="1" x14ac:dyDescent="0.25">
      <c r="C451" s="74"/>
    </row>
    <row r="452" spans="3:3" s="73" customFormat="1" x14ac:dyDescent="0.25">
      <c r="C452" s="74"/>
    </row>
    <row r="453" spans="3:3" s="73" customFormat="1" x14ac:dyDescent="0.25">
      <c r="C453" s="74"/>
    </row>
    <row r="454" spans="3:3" s="73" customFormat="1" x14ac:dyDescent="0.25">
      <c r="C454" s="74"/>
    </row>
    <row r="455" spans="3:3" s="73" customFormat="1" x14ac:dyDescent="0.25">
      <c r="C455" s="74"/>
    </row>
    <row r="456" spans="3:3" s="73" customFormat="1" x14ac:dyDescent="0.25">
      <c r="C456" s="74"/>
    </row>
    <row r="457" spans="3:3" s="73" customFormat="1" x14ac:dyDescent="0.25">
      <c r="C457" s="74"/>
    </row>
    <row r="458" spans="3:3" s="73" customFormat="1" x14ac:dyDescent="0.25">
      <c r="C458" s="74"/>
    </row>
    <row r="459" spans="3:3" s="73" customFormat="1" x14ac:dyDescent="0.25">
      <c r="C459" s="74"/>
    </row>
    <row r="460" spans="3:3" s="73" customFormat="1" x14ac:dyDescent="0.25">
      <c r="C460" s="74"/>
    </row>
    <row r="461" spans="3:3" s="73" customFormat="1" x14ac:dyDescent="0.25">
      <c r="C461" s="74"/>
    </row>
    <row r="462" spans="3:3" s="73" customFormat="1" x14ac:dyDescent="0.25">
      <c r="C462" s="74"/>
    </row>
    <row r="463" spans="3:3" s="73" customFormat="1" x14ac:dyDescent="0.25">
      <c r="C463" s="74"/>
    </row>
    <row r="464" spans="3:3" s="73" customFormat="1" x14ac:dyDescent="0.25">
      <c r="C464" s="74"/>
    </row>
    <row r="465" spans="3:3" s="73" customFormat="1" x14ac:dyDescent="0.25">
      <c r="C465" s="74"/>
    </row>
    <row r="466" spans="3:3" s="73" customFormat="1" x14ac:dyDescent="0.25">
      <c r="C466" s="74"/>
    </row>
    <row r="467" spans="3:3" s="73" customFormat="1" x14ac:dyDescent="0.25">
      <c r="C467" s="74"/>
    </row>
    <row r="468" spans="3:3" s="73" customFormat="1" x14ac:dyDescent="0.25">
      <c r="C468" s="74"/>
    </row>
    <row r="469" spans="3:3" s="73" customFormat="1" x14ac:dyDescent="0.25">
      <c r="C469" s="74"/>
    </row>
    <row r="470" spans="3:3" s="73" customFormat="1" x14ac:dyDescent="0.25">
      <c r="C470" s="74"/>
    </row>
    <row r="471" spans="3:3" s="73" customFormat="1" x14ac:dyDescent="0.25">
      <c r="C471" s="74"/>
    </row>
    <row r="472" spans="3:3" s="73" customFormat="1" x14ac:dyDescent="0.25">
      <c r="C472" s="74"/>
    </row>
    <row r="473" spans="3:3" s="73" customFormat="1" x14ac:dyDescent="0.25">
      <c r="C473" s="74"/>
    </row>
    <row r="474" spans="3:3" s="73" customFormat="1" x14ac:dyDescent="0.25">
      <c r="C474" s="74"/>
    </row>
    <row r="475" spans="3:3" s="73" customFormat="1" x14ac:dyDescent="0.25">
      <c r="C475" s="74"/>
    </row>
    <row r="476" spans="3:3" s="73" customFormat="1" x14ac:dyDescent="0.25">
      <c r="C476" s="74"/>
    </row>
    <row r="477" spans="3:3" s="73" customFormat="1" x14ac:dyDescent="0.25">
      <c r="C477" s="74"/>
    </row>
    <row r="478" spans="3:3" s="73" customFormat="1" x14ac:dyDescent="0.25">
      <c r="C478" s="74"/>
    </row>
    <row r="479" spans="3:3" s="73" customFormat="1" x14ac:dyDescent="0.25">
      <c r="C479" s="74"/>
    </row>
    <row r="480" spans="3:3" s="73" customFormat="1" x14ac:dyDescent="0.25">
      <c r="C480" s="74"/>
    </row>
    <row r="481" spans="3:3" s="73" customFormat="1" x14ac:dyDescent="0.25">
      <c r="C481" s="74"/>
    </row>
    <row r="482" spans="3:3" s="73" customFormat="1" x14ac:dyDescent="0.25">
      <c r="C482" s="74"/>
    </row>
    <row r="483" spans="3:3" s="73" customFormat="1" x14ac:dyDescent="0.25">
      <c r="C483" s="74"/>
    </row>
    <row r="484" spans="3:3" s="73" customFormat="1" x14ac:dyDescent="0.25">
      <c r="C484" s="74"/>
    </row>
    <row r="485" spans="3:3" s="73" customFormat="1" x14ac:dyDescent="0.25">
      <c r="C485" s="74"/>
    </row>
    <row r="486" spans="3:3" s="73" customFormat="1" x14ac:dyDescent="0.25">
      <c r="C486" s="74"/>
    </row>
    <row r="487" spans="3:3" s="73" customFormat="1" x14ac:dyDescent="0.25">
      <c r="C487" s="74"/>
    </row>
    <row r="488" spans="3:3" s="73" customFormat="1" x14ac:dyDescent="0.25">
      <c r="C488" s="74"/>
    </row>
    <row r="489" spans="3:3" s="73" customFormat="1" x14ac:dyDescent="0.25">
      <c r="C489" s="74"/>
    </row>
    <row r="490" spans="3:3" s="73" customFormat="1" x14ac:dyDescent="0.25">
      <c r="C490" s="74"/>
    </row>
    <row r="491" spans="3:3" s="73" customFormat="1" x14ac:dyDescent="0.25">
      <c r="C491" s="74"/>
    </row>
    <row r="492" spans="3:3" s="73" customFormat="1" x14ac:dyDescent="0.25">
      <c r="C492" s="74"/>
    </row>
    <row r="493" spans="3:3" s="73" customFormat="1" x14ac:dyDescent="0.25">
      <c r="C493" s="74"/>
    </row>
    <row r="494" spans="3:3" s="73" customFormat="1" x14ac:dyDescent="0.25">
      <c r="C494" s="74"/>
    </row>
    <row r="495" spans="3:3" s="73" customFormat="1" x14ac:dyDescent="0.25">
      <c r="C495" s="74"/>
    </row>
    <row r="496" spans="3:3" s="73" customFormat="1" x14ac:dyDescent="0.25">
      <c r="C496" s="74"/>
    </row>
    <row r="497" spans="3:3" s="73" customFormat="1" x14ac:dyDescent="0.25">
      <c r="C497" s="74"/>
    </row>
    <row r="498" spans="3:3" s="73" customFormat="1" x14ac:dyDescent="0.25">
      <c r="C498" s="74"/>
    </row>
    <row r="499" spans="3:3" s="73" customFormat="1" x14ac:dyDescent="0.25">
      <c r="C499" s="74"/>
    </row>
    <row r="500" spans="3:3" s="73" customFormat="1" x14ac:dyDescent="0.25">
      <c r="C500" s="74"/>
    </row>
    <row r="501" spans="3:3" s="73" customFormat="1" x14ac:dyDescent="0.25">
      <c r="C501" s="74"/>
    </row>
    <row r="502" spans="3:3" s="73" customFormat="1" x14ac:dyDescent="0.25">
      <c r="C502" s="74"/>
    </row>
    <row r="503" spans="3:3" s="73" customFormat="1" x14ac:dyDescent="0.25">
      <c r="C503" s="74"/>
    </row>
    <row r="504" spans="3:3" s="73" customFormat="1" x14ac:dyDescent="0.25">
      <c r="C504" s="74"/>
    </row>
    <row r="505" spans="3:3" s="73" customFormat="1" x14ac:dyDescent="0.25">
      <c r="C505" s="74"/>
    </row>
    <row r="506" spans="3:3" s="73" customFormat="1" x14ac:dyDescent="0.25">
      <c r="C506" s="74"/>
    </row>
    <row r="507" spans="3:3" s="73" customFormat="1" x14ac:dyDescent="0.25">
      <c r="C507" s="74"/>
    </row>
    <row r="508" spans="3:3" s="73" customFormat="1" x14ac:dyDescent="0.25">
      <c r="C508" s="74"/>
    </row>
    <row r="509" spans="3:3" s="73" customFormat="1" x14ac:dyDescent="0.25">
      <c r="C509" s="74"/>
    </row>
    <row r="510" spans="3:3" s="73" customFormat="1" x14ac:dyDescent="0.25">
      <c r="C510" s="74"/>
    </row>
    <row r="511" spans="3:3" s="73" customFormat="1" x14ac:dyDescent="0.25">
      <c r="C511" s="74"/>
    </row>
    <row r="512" spans="3:3" s="73" customFormat="1" x14ac:dyDescent="0.25">
      <c r="C512" s="74"/>
    </row>
    <row r="513" spans="3:3" s="73" customFormat="1" x14ac:dyDescent="0.25">
      <c r="C513" s="74"/>
    </row>
    <row r="514" spans="3:3" s="73" customFormat="1" x14ac:dyDescent="0.25">
      <c r="C514" s="74"/>
    </row>
    <row r="515" spans="3:3" s="73" customFormat="1" x14ac:dyDescent="0.25">
      <c r="C515" s="74"/>
    </row>
    <row r="516" spans="3:3" s="73" customFormat="1" x14ac:dyDescent="0.25">
      <c r="C516" s="74"/>
    </row>
    <row r="517" spans="3:3" s="73" customFormat="1" x14ac:dyDescent="0.25">
      <c r="C517" s="74"/>
    </row>
    <row r="518" spans="3:3" s="73" customFormat="1" x14ac:dyDescent="0.25">
      <c r="C518" s="74"/>
    </row>
    <row r="519" spans="3:3" s="73" customFormat="1" x14ac:dyDescent="0.25">
      <c r="C519" s="74"/>
    </row>
    <row r="520" spans="3:3" s="73" customFormat="1" x14ac:dyDescent="0.25">
      <c r="C520" s="74"/>
    </row>
    <row r="521" spans="3:3" s="73" customFormat="1" x14ac:dyDescent="0.25">
      <c r="C521" s="74"/>
    </row>
    <row r="522" spans="3:3" s="73" customFormat="1" x14ac:dyDescent="0.25">
      <c r="C522" s="74"/>
    </row>
    <row r="523" spans="3:3" s="73" customFormat="1" x14ac:dyDescent="0.25">
      <c r="C523" s="74"/>
    </row>
    <row r="524" spans="3:3" s="73" customFormat="1" x14ac:dyDescent="0.25">
      <c r="C524" s="74"/>
    </row>
    <row r="525" spans="3:3" s="73" customFormat="1" x14ac:dyDescent="0.25">
      <c r="C525" s="74"/>
    </row>
    <row r="526" spans="3:3" s="73" customFormat="1" x14ac:dyDescent="0.25">
      <c r="C526" s="74"/>
    </row>
    <row r="527" spans="3:3" s="73" customFormat="1" x14ac:dyDescent="0.25">
      <c r="C527" s="74"/>
    </row>
    <row r="528" spans="3:3" s="73" customFormat="1" x14ac:dyDescent="0.25">
      <c r="C528" s="74"/>
    </row>
    <row r="529" spans="3:3" s="73" customFormat="1" x14ac:dyDescent="0.25">
      <c r="C529" s="74"/>
    </row>
    <row r="530" spans="3:3" s="73" customFormat="1" x14ac:dyDescent="0.25">
      <c r="C530" s="74"/>
    </row>
    <row r="531" spans="3:3" s="73" customFormat="1" x14ac:dyDescent="0.25">
      <c r="C531" s="74"/>
    </row>
    <row r="532" spans="3:3" s="73" customFormat="1" x14ac:dyDescent="0.25">
      <c r="C532" s="74"/>
    </row>
    <row r="533" spans="3:3" s="73" customFormat="1" x14ac:dyDescent="0.25">
      <c r="C533" s="74"/>
    </row>
    <row r="534" spans="3:3" s="73" customFormat="1" x14ac:dyDescent="0.25">
      <c r="C534" s="74"/>
    </row>
    <row r="535" spans="3:3" s="73" customFormat="1" x14ac:dyDescent="0.25">
      <c r="C535" s="74"/>
    </row>
    <row r="536" spans="3:3" s="73" customFormat="1" x14ac:dyDescent="0.25">
      <c r="C536" s="74"/>
    </row>
    <row r="537" spans="3:3" s="73" customFormat="1" x14ac:dyDescent="0.25">
      <c r="C537" s="74"/>
    </row>
    <row r="538" spans="3:3" s="73" customFormat="1" x14ac:dyDescent="0.25">
      <c r="C538" s="74"/>
    </row>
    <row r="539" spans="3:3" s="73" customFormat="1" x14ac:dyDescent="0.25">
      <c r="C539" s="74"/>
    </row>
    <row r="540" spans="3:3" s="73" customFormat="1" x14ac:dyDescent="0.25">
      <c r="C540" s="74"/>
    </row>
    <row r="541" spans="3:3" s="73" customFormat="1" x14ac:dyDescent="0.25">
      <c r="C541" s="74"/>
    </row>
    <row r="542" spans="3:3" s="73" customFormat="1" x14ac:dyDescent="0.25">
      <c r="C542" s="74"/>
    </row>
    <row r="543" spans="3:3" s="73" customFormat="1" x14ac:dyDescent="0.25">
      <c r="C543" s="74"/>
    </row>
    <row r="544" spans="3:3" s="73" customFormat="1" x14ac:dyDescent="0.25">
      <c r="C544" s="74"/>
    </row>
    <row r="545" spans="3:3" s="73" customFormat="1" x14ac:dyDescent="0.25">
      <c r="C545" s="74"/>
    </row>
    <row r="546" spans="3:3" s="73" customFormat="1" x14ac:dyDescent="0.25">
      <c r="C546" s="74"/>
    </row>
    <row r="547" spans="3:3" s="73" customFormat="1" x14ac:dyDescent="0.25">
      <c r="C547" s="74"/>
    </row>
    <row r="548" spans="3:3" s="73" customFormat="1" x14ac:dyDescent="0.25">
      <c r="C548" s="74"/>
    </row>
    <row r="549" spans="3:3" s="73" customFormat="1" x14ac:dyDescent="0.25">
      <c r="C549" s="74"/>
    </row>
    <row r="550" spans="3:3" s="73" customFormat="1" x14ac:dyDescent="0.25">
      <c r="C550" s="74"/>
    </row>
    <row r="551" spans="3:3" s="73" customFormat="1" x14ac:dyDescent="0.25">
      <c r="C551" s="74"/>
    </row>
    <row r="552" spans="3:3" s="73" customFormat="1" x14ac:dyDescent="0.25">
      <c r="C552" s="74"/>
    </row>
    <row r="553" spans="3:3" s="73" customFormat="1" x14ac:dyDescent="0.25">
      <c r="C553" s="74"/>
    </row>
    <row r="554" spans="3:3" s="73" customFormat="1" x14ac:dyDescent="0.25">
      <c r="C554" s="74"/>
    </row>
    <row r="555" spans="3:3" s="73" customFormat="1" x14ac:dyDescent="0.25">
      <c r="C555" s="74"/>
    </row>
    <row r="556" spans="3:3" s="73" customFormat="1" x14ac:dyDescent="0.25">
      <c r="C556" s="74"/>
    </row>
    <row r="557" spans="3:3" s="73" customFormat="1" x14ac:dyDescent="0.25">
      <c r="C557" s="74"/>
    </row>
    <row r="558" spans="3:3" s="73" customFormat="1" x14ac:dyDescent="0.25">
      <c r="C558" s="74"/>
    </row>
    <row r="559" spans="3:3" s="73" customFormat="1" x14ac:dyDescent="0.25">
      <c r="C559" s="74"/>
    </row>
    <row r="560" spans="3:3" s="73" customFormat="1" x14ac:dyDescent="0.25">
      <c r="C560" s="74"/>
    </row>
    <row r="561" spans="3:3" s="73" customFormat="1" x14ac:dyDescent="0.25">
      <c r="C561" s="74"/>
    </row>
    <row r="562" spans="3:3" s="73" customFormat="1" x14ac:dyDescent="0.25">
      <c r="C562" s="74"/>
    </row>
    <row r="563" spans="3:3" s="73" customFormat="1" x14ac:dyDescent="0.25">
      <c r="C563" s="74"/>
    </row>
    <row r="564" spans="3:3" s="73" customFormat="1" x14ac:dyDescent="0.25">
      <c r="C564" s="74"/>
    </row>
    <row r="565" spans="3:3" s="73" customFormat="1" x14ac:dyDescent="0.25">
      <c r="C565" s="74"/>
    </row>
    <row r="566" spans="3:3" s="73" customFormat="1" x14ac:dyDescent="0.25">
      <c r="C566" s="74"/>
    </row>
    <row r="567" spans="3:3" s="73" customFormat="1" x14ac:dyDescent="0.25">
      <c r="C567" s="74"/>
    </row>
    <row r="568" spans="3:3" s="73" customFormat="1" x14ac:dyDescent="0.25">
      <c r="C568" s="74"/>
    </row>
    <row r="569" spans="3:3" s="73" customFormat="1" x14ac:dyDescent="0.25">
      <c r="C569" s="74"/>
    </row>
    <row r="570" spans="3:3" s="73" customFormat="1" x14ac:dyDescent="0.25">
      <c r="C570" s="74"/>
    </row>
    <row r="571" spans="3:3" s="73" customFormat="1" x14ac:dyDescent="0.25">
      <c r="C571" s="74"/>
    </row>
    <row r="572" spans="3:3" s="73" customFormat="1" x14ac:dyDescent="0.25">
      <c r="C572" s="74"/>
    </row>
    <row r="573" spans="3:3" s="73" customFormat="1" x14ac:dyDescent="0.25">
      <c r="C573" s="74"/>
    </row>
    <row r="574" spans="3:3" s="73" customFormat="1" x14ac:dyDescent="0.25">
      <c r="C574" s="74"/>
    </row>
    <row r="575" spans="3:3" s="73" customFormat="1" x14ac:dyDescent="0.25">
      <c r="C575" s="74"/>
    </row>
    <row r="576" spans="3:3" s="73" customFormat="1" x14ac:dyDescent="0.25">
      <c r="C576" s="74"/>
    </row>
    <row r="577" spans="3:3" s="73" customFormat="1" x14ac:dyDescent="0.25">
      <c r="C577" s="74"/>
    </row>
    <row r="578" spans="3:3" s="73" customFormat="1" x14ac:dyDescent="0.25">
      <c r="C578" s="74"/>
    </row>
    <row r="579" spans="3:3" s="73" customFormat="1" x14ac:dyDescent="0.25">
      <c r="C579" s="74"/>
    </row>
    <row r="580" spans="3:3" s="73" customFormat="1" x14ac:dyDescent="0.25">
      <c r="C580" s="74"/>
    </row>
    <row r="581" spans="3:3" s="73" customFormat="1" x14ac:dyDescent="0.25">
      <c r="C581" s="74"/>
    </row>
    <row r="582" spans="3:3" s="73" customFormat="1" x14ac:dyDescent="0.25">
      <c r="C582" s="74"/>
    </row>
    <row r="583" spans="3:3" s="73" customFormat="1" x14ac:dyDescent="0.25">
      <c r="C583" s="74"/>
    </row>
    <row r="584" spans="3:3" s="73" customFormat="1" x14ac:dyDescent="0.25">
      <c r="C584" s="74"/>
    </row>
    <row r="585" spans="3:3" s="73" customFormat="1" x14ac:dyDescent="0.25">
      <c r="C585" s="74"/>
    </row>
    <row r="586" spans="3:3" s="73" customFormat="1" x14ac:dyDescent="0.25">
      <c r="C586" s="74"/>
    </row>
    <row r="587" spans="3:3" s="73" customFormat="1" x14ac:dyDescent="0.25">
      <c r="C587" s="74"/>
    </row>
    <row r="588" spans="3:3" s="73" customFormat="1" x14ac:dyDescent="0.25">
      <c r="C588" s="74"/>
    </row>
    <row r="589" spans="3:3" s="73" customFormat="1" x14ac:dyDescent="0.25">
      <c r="C589" s="74"/>
    </row>
    <row r="590" spans="3:3" s="73" customFormat="1" x14ac:dyDescent="0.25">
      <c r="C590" s="74"/>
    </row>
    <row r="591" spans="3:3" s="73" customFormat="1" x14ac:dyDescent="0.25">
      <c r="C591" s="74"/>
    </row>
    <row r="592" spans="3:3" s="73" customFormat="1" x14ac:dyDescent="0.25">
      <c r="C592" s="74"/>
    </row>
    <row r="593" spans="3:3" s="73" customFormat="1" x14ac:dyDescent="0.25">
      <c r="C593" s="74"/>
    </row>
    <row r="594" spans="3:3" s="73" customFormat="1" x14ac:dyDescent="0.25">
      <c r="C594" s="74"/>
    </row>
    <row r="595" spans="3:3" s="73" customFormat="1" x14ac:dyDescent="0.25">
      <c r="C595" s="74"/>
    </row>
    <row r="596" spans="3:3" s="73" customFormat="1" x14ac:dyDescent="0.25">
      <c r="C596" s="74"/>
    </row>
    <row r="597" spans="3:3" s="73" customFormat="1" x14ac:dyDescent="0.25">
      <c r="C597" s="74"/>
    </row>
    <row r="598" spans="3:3" s="73" customFormat="1" x14ac:dyDescent="0.25">
      <c r="C598" s="74"/>
    </row>
    <row r="599" spans="3:3" s="73" customFormat="1" x14ac:dyDescent="0.25">
      <c r="C599" s="74"/>
    </row>
    <row r="600" spans="3:3" s="73" customFormat="1" x14ac:dyDescent="0.25">
      <c r="C600" s="74"/>
    </row>
    <row r="601" spans="3:3" s="73" customFormat="1" x14ac:dyDescent="0.25">
      <c r="C601" s="74"/>
    </row>
    <row r="602" spans="3:3" s="73" customFormat="1" x14ac:dyDescent="0.25">
      <c r="C602" s="74"/>
    </row>
    <row r="603" spans="3:3" s="73" customFormat="1" x14ac:dyDescent="0.25">
      <c r="C603" s="74"/>
    </row>
    <row r="604" spans="3:3" s="73" customFormat="1" x14ac:dyDescent="0.25">
      <c r="C604" s="74"/>
    </row>
    <row r="605" spans="3:3" s="73" customFormat="1" x14ac:dyDescent="0.25">
      <c r="C605" s="74"/>
    </row>
    <row r="606" spans="3:3" s="73" customFormat="1" x14ac:dyDescent="0.25">
      <c r="C606" s="74"/>
    </row>
    <row r="607" spans="3:3" s="73" customFormat="1" x14ac:dyDescent="0.25">
      <c r="C607" s="74"/>
    </row>
    <row r="608" spans="3:3" s="73" customFormat="1" x14ac:dyDescent="0.25">
      <c r="C608" s="74"/>
    </row>
    <row r="609" spans="3:3" s="73" customFormat="1" x14ac:dyDescent="0.25">
      <c r="C609" s="74"/>
    </row>
    <row r="610" spans="3:3" s="73" customFormat="1" x14ac:dyDescent="0.25">
      <c r="C610" s="74"/>
    </row>
    <row r="611" spans="3:3" s="73" customFormat="1" x14ac:dyDescent="0.25">
      <c r="C611" s="74"/>
    </row>
    <row r="612" spans="3:3" s="73" customFormat="1" x14ac:dyDescent="0.25">
      <c r="C612" s="74"/>
    </row>
    <row r="613" spans="3:3" s="73" customFormat="1" x14ac:dyDescent="0.25">
      <c r="C613" s="74"/>
    </row>
    <row r="614" spans="3:3" s="73" customFormat="1" x14ac:dyDescent="0.25">
      <c r="C614" s="74"/>
    </row>
    <row r="615" spans="3:3" s="73" customFormat="1" x14ac:dyDescent="0.25">
      <c r="C615" s="74"/>
    </row>
    <row r="616" spans="3:3" s="73" customFormat="1" x14ac:dyDescent="0.25">
      <c r="C616" s="74"/>
    </row>
    <row r="617" spans="3:3" s="73" customFormat="1" x14ac:dyDescent="0.25">
      <c r="C617" s="74"/>
    </row>
    <row r="618" spans="3:3" s="73" customFormat="1" x14ac:dyDescent="0.25">
      <c r="C618" s="74"/>
    </row>
    <row r="619" spans="3:3" s="73" customFormat="1" x14ac:dyDescent="0.25">
      <c r="C619" s="74"/>
    </row>
    <row r="620" spans="3:3" s="73" customFormat="1" x14ac:dyDescent="0.25">
      <c r="C620" s="74"/>
    </row>
    <row r="621" spans="3:3" s="73" customFormat="1" x14ac:dyDescent="0.25">
      <c r="C621" s="74"/>
    </row>
    <row r="622" spans="3:3" s="73" customFormat="1" x14ac:dyDescent="0.25">
      <c r="C622" s="74"/>
    </row>
    <row r="623" spans="3:3" s="73" customFormat="1" x14ac:dyDescent="0.25">
      <c r="C623" s="74"/>
    </row>
    <row r="624" spans="3:3" s="73" customFormat="1" x14ac:dyDescent="0.25">
      <c r="C624" s="74"/>
    </row>
    <row r="625" spans="3:3" s="73" customFormat="1" x14ac:dyDescent="0.25">
      <c r="C625" s="74"/>
    </row>
    <row r="626" spans="3:3" s="73" customFormat="1" x14ac:dyDescent="0.25">
      <c r="C626" s="74"/>
    </row>
    <row r="627" spans="3:3" s="73" customFormat="1" x14ac:dyDescent="0.25">
      <c r="C627" s="74"/>
    </row>
    <row r="628" spans="3:3" s="73" customFormat="1" x14ac:dyDescent="0.25">
      <c r="C628" s="74"/>
    </row>
    <row r="629" spans="3:3" s="73" customFormat="1" x14ac:dyDescent="0.25">
      <c r="C629" s="74"/>
    </row>
    <row r="630" spans="3:3" s="73" customFormat="1" x14ac:dyDescent="0.25">
      <c r="C630" s="74"/>
    </row>
    <row r="631" spans="3:3" s="73" customFormat="1" x14ac:dyDescent="0.25">
      <c r="C631" s="74"/>
    </row>
    <row r="632" spans="3:3" s="73" customFormat="1" x14ac:dyDescent="0.25">
      <c r="C632" s="74"/>
    </row>
    <row r="633" spans="3:3" s="73" customFormat="1" x14ac:dyDescent="0.25">
      <c r="C633" s="74"/>
    </row>
    <row r="634" spans="3:3" s="73" customFormat="1" x14ac:dyDescent="0.25">
      <c r="C634" s="74"/>
    </row>
    <row r="635" spans="3:3" s="73" customFormat="1" x14ac:dyDescent="0.25">
      <c r="C635" s="74"/>
    </row>
    <row r="636" spans="3:3" s="73" customFormat="1" x14ac:dyDescent="0.25">
      <c r="C636" s="74"/>
    </row>
    <row r="637" spans="3:3" s="73" customFormat="1" x14ac:dyDescent="0.25">
      <c r="C637" s="74"/>
    </row>
    <row r="638" spans="3:3" s="73" customFormat="1" x14ac:dyDescent="0.25">
      <c r="C638" s="74"/>
    </row>
    <row r="639" spans="3:3" s="73" customFormat="1" x14ac:dyDescent="0.25">
      <c r="C639" s="74"/>
    </row>
    <row r="640" spans="3:3" s="73" customFormat="1" x14ac:dyDescent="0.25">
      <c r="C640" s="74"/>
    </row>
    <row r="641" spans="3:3" s="73" customFormat="1" x14ac:dyDescent="0.25">
      <c r="C641" s="74"/>
    </row>
    <row r="642" spans="3:3" s="73" customFormat="1" x14ac:dyDescent="0.25">
      <c r="C642" s="74"/>
    </row>
    <row r="643" spans="3:3" s="73" customFormat="1" x14ac:dyDescent="0.25">
      <c r="C643" s="74"/>
    </row>
    <row r="644" spans="3:3" s="73" customFormat="1" x14ac:dyDescent="0.25">
      <c r="C644" s="74"/>
    </row>
    <row r="645" spans="3:3" s="73" customFormat="1" x14ac:dyDescent="0.25">
      <c r="C645" s="74"/>
    </row>
    <row r="646" spans="3:3" s="73" customFormat="1" x14ac:dyDescent="0.25">
      <c r="C646" s="74"/>
    </row>
    <row r="647" spans="3:3" s="73" customFormat="1" x14ac:dyDescent="0.25">
      <c r="C647" s="74"/>
    </row>
    <row r="648" spans="3:3" s="73" customFormat="1" x14ac:dyDescent="0.25">
      <c r="C648" s="74"/>
    </row>
    <row r="649" spans="3:3" s="73" customFormat="1" x14ac:dyDescent="0.25">
      <c r="C649" s="74"/>
    </row>
    <row r="650" spans="3:3" s="73" customFormat="1" x14ac:dyDescent="0.25">
      <c r="C650" s="74"/>
    </row>
    <row r="651" spans="3:3" s="73" customFormat="1" x14ac:dyDescent="0.25">
      <c r="C651" s="74"/>
    </row>
    <row r="652" spans="3:3" s="73" customFormat="1" x14ac:dyDescent="0.25">
      <c r="C652" s="74"/>
    </row>
    <row r="653" spans="3:3" s="73" customFormat="1" x14ac:dyDescent="0.25">
      <c r="C653" s="74"/>
    </row>
    <row r="654" spans="3:3" s="73" customFormat="1" x14ac:dyDescent="0.25">
      <c r="C654" s="74"/>
    </row>
    <row r="655" spans="3:3" s="73" customFormat="1" x14ac:dyDescent="0.25">
      <c r="C655" s="74"/>
    </row>
    <row r="656" spans="3:3" s="73" customFormat="1" x14ac:dyDescent="0.25">
      <c r="C656" s="74"/>
    </row>
    <row r="657" spans="3:3" s="73" customFormat="1" x14ac:dyDescent="0.25">
      <c r="C657" s="74"/>
    </row>
    <row r="658" spans="3:3" s="73" customFormat="1" x14ac:dyDescent="0.25">
      <c r="C658" s="74"/>
    </row>
    <row r="659" spans="3:3" s="73" customFormat="1" x14ac:dyDescent="0.25">
      <c r="C659" s="74"/>
    </row>
    <row r="660" spans="3:3" s="73" customFormat="1" x14ac:dyDescent="0.25">
      <c r="C660" s="74"/>
    </row>
    <row r="661" spans="3:3" s="73" customFormat="1" x14ac:dyDescent="0.25">
      <c r="C661" s="74"/>
    </row>
    <row r="662" spans="3:3" s="73" customFormat="1" x14ac:dyDescent="0.25">
      <c r="C662" s="74"/>
    </row>
    <row r="663" spans="3:3" s="73" customFormat="1" x14ac:dyDescent="0.25">
      <c r="C663" s="74"/>
    </row>
    <row r="664" spans="3:3" s="73" customFormat="1" x14ac:dyDescent="0.25">
      <c r="C664" s="74"/>
    </row>
    <row r="665" spans="3:3" s="73" customFormat="1" x14ac:dyDescent="0.25">
      <c r="C665" s="74"/>
    </row>
    <row r="666" spans="3:3" s="73" customFormat="1" x14ac:dyDescent="0.25">
      <c r="C666" s="74"/>
    </row>
    <row r="667" spans="3:3" s="73" customFormat="1" x14ac:dyDescent="0.25">
      <c r="C667" s="74"/>
    </row>
    <row r="668" spans="3:3" s="73" customFormat="1" x14ac:dyDescent="0.25">
      <c r="C668" s="74"/>
    </row>
    <row r="669" spans="3:3" s="73" customFormat="1" x14ac:dyDescent="0.25">
      <c r="C669" s="74"/>
    </row>
    <row r="670" spans="3:3" s="73" customFormat="1" x14ac:dyDescent="0.25">
      <c r="C670" s="74"/>
    </row>
    <row r="671" spans="3:3" s="73" customFormat="1" x14ac:dyDescent="0.25">
      <c r="C671" s="74"/>
    </row>
    <row r="672" spans="3:3" s="73" customFormat="1" x14ac:dyDescent="0.25">
      <c r="C672" s="74"/>
    </row>
    <row r="673" spans="3:3" s="73" customFormat="1" x14ac:dyDescent="0.25">
      <c r="C673" s="74"/>
    </row>
    <row r="674" spans="3:3" s="73" customFormat="1" x14ac:dyDescent="0.25">
      <c r="C674" s="74"/>
    </row>
    <row r="675" spans="3:3" s="73" customFormat="1" x14ac:dyDescent="0.25">
      <c r="C675" s="74"/>
    </row>
    <row r="676" spans="3:3" s="73" customFormat="1" x14ac:dyDescent="0.25">
      <c r="C676" s="74"/>
    </row>
    <row r="677" spans="3:3" s="73" customFormat="1" x14ac:dyDescent="0.25">
      <c r="C677" s="74"/>
    </row>
    <row r="678" spans="3:3" s="73" customFormat="1" x14ac:dyDescent="0.25">
      <c r="C678" s="74"/>
    </row>
    <row r="679" spans="3:3" s="73" customFormat="1" x14ac:dyDescent="0.25">
      <c r="C679" s="74"/>
    </row>
    <row r="680" spans="3:3" s="73" customFormat="1" x14ac:dyDescent="0.25">
      <c r="C680" s="74"/>
    </row>
    <row r="681" spans="3:3" s="73" customFormat="1" x14ac:dyDescent="0.25">
      <c r="C681" s="74"/>
    </row>
    <row r="682" spans="3:3" s="73" customFormat="1" x14ac:dyDescent="0.25">
      <c r="C682" s="74"/>
    </row>
    <row r="683" spans="3:3" s="73" customFormat="1" x14ac:dyDescent="0.25">
      <c r="C683" s="74"/>
    </row>
    <row r="684" spans="3:3" s="73" customFormat="1" x14ac:dyDescent="0.25">
      <c r="C684" s="74"/>
    </row>
    <row r="685" spans="3:3" s="73" customFormat="1" x14ac:dyDescent="0.25">
      <c r="C685" s="74"/>
    </row>
    <row r="686" spans="3:3" s="73" customFormat="1" x14ac:dyDescent="0.25">
      <c r="C686" s="74"/>
    </row>
    <row r="687" spans="3:3" s="73" customFormat="1" x14ac:dyDescent="0.25">
      <c r="C687" s="74"/>
    </row>
    <row r="688" spans="3:3" s="73" customFormat="1" x14ac:dyDescent="0.25">
      <c r="C688" s="74"/>
    </row>
    <row r="689" spans="3:3" s="73" customFormat="1" x14ac:dyDescent="0.25">
      <c r="C689" s="74"/>
    </row>
    <row r="690" spans="3:3" s="73" customFormat="1" x14ac:dyDescent="0.25">
      <c r="C690" s="74"/>
    </row>
    <row r="691" spans="3:3" s="73" customFormat="1" x14ac:dyDescent="0.25">
      <c r="C691" s="74"/>
    </row>
    <row r="692" spans="3:3" s="73" customFormat="1" x14ac:dyDescent="0.25">
      <c r="C692" s="74"/>
    </row>
    <row r="693" spans="3:3" s="73" customFormat="1" x14ac:dyDescent="0.25">
      <c r="C693" s="74"/>
    </row>
    <row r="694" spans="3:3" s="73" customFormat="1" x14ac:dyDescent="0.25">
      <c r="C694" s="74"/>
    </row>
    <row r="695" spans="3:3" s="73" customFormat="1" x14ac:dyDescent="0.25">
      <c r="C695" s="74"/>
    </row>
    <row r="696" spans="3:3" s="73" customFormat="1" x14ac:dyDescent="0.25">
      <c r="C696" s="74"/>
    </row>
    <row r="697" spans="3:3" s="73" customFormat="1" x14ac:dyDescent="0.25">
      <c r="C697" s="74"/>
    </row>
    <row r="698" spans="3:3" s="73" customFormat="1" x14ac:dyDescent="0.25">
      <c r="C698" s="74"/>
    </row>
    <row r="699" spans="3:3" s="73" customFormat="1" x14ac:dyDescent="0.25">
      <c r="C699" s="74"/>
    </row>
    <row r="700" spans="3:3" s="73" customFormat="1" x14ac:dyDescent="0.25">
      <c r="C700" s="74"/>
    </row>
    <row r="701" spans="3:3" s="73" customFormat="1" x14ac:dyDescent="0.25">
      <c r="C701" s="74"/>
    </row>
    <row r="702" spans="3:3" s="73" customFormat="1" x14ac:dyDescent="0.25">
      <c r="C702" s="74"/>
    </row>
    <row r="703" spans="3:3" s="73" customFormat="1" x14ac:dyDescent="0.25">
      <c r="C703" s="74"/>
    </row>
    <row r="704" spans="3:3" s="73" customFormat="1" x14ac:dyDescent="0.25">
      <c r="C704" s="74"/>
    </row>
    <row r="705" spans="3:3" s="73" customFormat="1" x14ac:dyDescent="0.25">
      <c r="C705" s="74"/>
    </row>
    <row r="706" spans="3:3" s="73" customFormat="1" x14ac:dyDescent="0.25">
      <c r="C706" s="74"/>
    </row>
    <row r="707" spans="3:3" s="73" customFormat="1" x14ac:dyDescent="0.25">
      <c r="C707" s="74"/>
    </row>
    <row r="708" spans="3:3" s="73" customFormat="1" x14ac:dyDescent="0.25">
      <c r="C708" s="74"/>
    </row>
    <row r="709" spans="3:3" s="73" customFormat="1" x14ac:dyDescent="0.25">
      <c r="C709" s="74"/>
    </row>
    <row r="710" spans="3:3" s="73" customFormat="1" x14ac:dyDescent="0.25">
      <c r="C710" s="74"/>
    </row>
    <row r="711" spans="3:3" s="73" customFormat="1" x14ac:dyDescent="0.25">
      <c r="C711" s="74"/>
    </row>
    <row r="712" spans="3:3" s="73" customFormat="1" x14ac:dyDescent="0.25">
      <c r="C712" s="74"/>
    </row>
    <row r="713" spans="3:3" s="73" customFormat="1" x14ac:dyDescent="0.25">
      <c r="C713" s="74"/>
    </row>
    <row r="714" spans="3:3" s="73" customFormat="1" x14ac:dyDescent="0.25">
      <c r="C714" s="74"/>
    </row>
    <row r="715" spans="3:3" s="73" customFormat="1" x14ac:dyDescent="0.25">
      <c r="C715" s="74"/>
    </row>
    <row r="716" spans="3:3" s="73" customFormat="1" x14ac:dyDescent="0.25">
      <c r="C716" s="74"/>
    </row>
    <row r="717" spans="3:3" s="73" customFormat="1" x14ac:dyDescent="0.25">
      <c r="C717" s="74"/>
    </row>
    <row r="718" spans="3:3" s="73" customFormat="1" x14ac:dyDescent="0.25">
      <c r="C718" s="74"/>
    </row>
    <row r="719" spans="3:3" s="73" customFormat="1" x14ac:dyDescent="0.25">
      <c r="C719" s="74"/>
    </row>
    <row r="720" spans="3:3" s="73" customFormat="1" x14ac:dyDescent="0.25">
      <c r="C720" s="74"/>
    </row>
    <row r="721" spans="3:3" s="73" customFormat="1" x14ac:dyDescent="0.25">
      <c r="C721" s="74"/>
    </row>
    <row r="722" spans="3:3" s="73" customFormat="1" x14ac:dyDescent="0.25">
      <c r="C722" s="74"/>
    </row>
    <row r="723" spans="3:3" s="73" customFormat="1" x14ac:dyDescent="0.25">
      <c r="C723" s="74"/>
    </row>
    <row r="724" spans="3:3" s="73" customFormat="1" x14ac:dyDescent="0.25">
      <c r="C724" s="74"/>
    </row>
    <row r="725" spans="3:3" s="73" customFormat="1" x14ac:dyDescent="0.25">
      <c r="C725" s="74"/>
    </row>
    <row r="726" spans="3:3" s="73" customFormat="1" x14ac:dyDescent="0.25">
      <c r="C726" s="74"/>
    </row>
    <row r="727" spans="3:3" s="73" customFormat="1" x14ac:dyDescent="0.25">
      <c r="C727" s="74"/>
    </row>
    <row r="728" spans="3:3" s="73" customFormat="1" x14ac:dyDescent="0.25">
      <c r="C728" s="74"/>
    </row>
    <row r="729" spans="3:3" s="73" customFormat="1" x14ac:dyDescent="0.25">
      <c r="C729" s="74"/>
    </row>
    <row r="730" spans="3:3" s="73" customFormat="1" x14ac:dyDescent="0.25">
      <c r="C730" s="74"/>
    </row>
    <row r="731" spans="3:3" s="73" customFormat="1" x14ac:dyDescent="0.25">
      <c r="C731" s="74"/>
    </row>
    <row r="732" spans="3:3" s="73" customFormat="1" x14ac:dyDescent="0.25">
      <c r="C732" s="74"/>
    </row>
    <row r="733" spans="3:3" s="73" customFormat="1" x14ac:dyDescent="0.25">
      <c r="C733" s="74"/>
    </row>
    <row r="734" spans="3:3" s="73" customFormat="1" x14ac:dyDescent="0.25">
      <c r="C734" s="74"/>
    </row>
    <row r="735" spans="3:3" s="73" customFormat="1" x14ac:dyDescent="0.25">
      <c r="C735" s="74"/>
    </row>
    <row r="736" spans="3:3" s="73" customFormat="1" x14ac:dyDescent="0.25">
      <c r="C736" s="74"/>
    </row>
    <row r="737" spans="3:3" s="73" customFormat="1" x14ac:dyDescent="0.25">
      <c r="C737" s="74"/>
    </row>
    <row r="738" spans="3:3" s="73" customFormat="1" x14ac:dyDescent="0.25">
      <c r="C738" s="74"/>
    </row>
    <row r="739" spans="3:3" s="73" customFormat="1" x14ac:dyDescent="0.25">
      <c r="C739" s="74"/>
    </row>
    <row r="740" spans="3:3" s="73" customFormat="1" x14ac:dyDescent="0.25">
      <c r="C740" s="74"/>
    </row>
    <row r="741" spans="3:3" s="73" customFormat="1" x14ac:dyDescent="0.25">
      <c r="C741" s="74"/>
    </row>
    <row r="742" spans="3:3" s="73" customFormat="1" x14ac:dyDescent="0.25">
      <c r="C742" s="74"/>
    </row>
    <row r="743" spans="3:3" s="73" customFormat="1" x14ac:dyDescent="0.25">
      <c r="C743" s="74"/>
    </row>
    <row r="744" spans="3:3" s="73" customFormat="1" x14ac:dyDescent="0.25">
      <c r="C744" s="74"/>
    </row>
    <row r="745" spans="3:3" s="73" customFormat="1" x14ac:dyDescent="0.25">
      <c r="C745" s="74"/>
    </row>
    <row r="746" spans="3:3" s="73" customFormat="1" x14ac:dyDescent="0.25">
      <c r="C746" s="74"/>
    </row>
    <row r="747" spans="3:3" s="73" customFormat="1" x14ac:dyDescent="0.25">
      <c r="C747" s="74"/>
    </row>
    <row r="748" spans="3:3" s="73" customFormat="1" x14ac:dyDescent="0.25">
      <c r="C748" s="74"/>
    </row>
    <row r="749" spans="3:3" s="73" customFormat="1" x14ac:dyDescent="0.25">
      <c r="C749" s="74"/>
    </row>
    <row r="750" spans="3:3" s="73" customFormat="1" x14ac:dyDescent="0.25">
      <c r="C750" s="74"/>
    </row>
    <row r="751" spans="3:3" s="73" customFormat="1" x14ac:dyDescent="0.25">
      <c r="C751" s="74"/>
    </row>
    <row r="752" spans="3:3" s="73" customFormat="1" x14ac:dyDescent="0.25">
      <c r="C752" s="74"/>
    </row>
    <row r="753" spans="3:3" s="73" customFormat="1" x14ac:dyDescent="0.25">
      <c r="C753" s="74"/>
    </row>
    <row r="754" spans="3:3" s="73" customFormat="1" x14ac:dyDescent="0.25">
      <c r="C754" s="74"/>
    </row>
    <row r="755" spans="3:3" s="73" customFormat="1" x14ac:dyDescent="0.25">
      <c r="C755" s="74"/>
    </row>
    <row r="756" spans="3:3" s="73" customFormat="1" x14ac:dyDescent="0.25">
      <c r="C756" s="74"/>
    </row>
    <row r="757" spans="3:3" s="73" customFormat="1" x14ac:dyDescent="0.25">
      <c r="C757" s="74"/>
    </row>
    <row r="758" spans="3:3" s="73" customFormat="1" x14ac:dyDescent="0.25">
      <c r="C758" s="74"/>
    </row>
    <row r="759" spans="3:3" s="73" customFormat="1" x14ac:dyDescent="0.25">
      <c r="C759" s="74"/>
    </row>
    <row r="760" spans="3:3" s="73" customFormat="1" x14ac:dyDescent="0.25">
      <c r="C760" s="74"/>
    </row>
    <row r="761" spans="3:3" s="73" customFormat="1" x14ac:dyDescent="0.25">
      <c r="C761" s="74"/>
    </row>
    <row r="762" spans="3:3" s="73" customFormat="1" x14ac:dyDescent="0.25">
      <c r="C762" s="74"/>
    </row>
    <row r="763" spans="3:3" s="73" customFormat="1" x14ac:dyDescent="0.25">
      <c r="C763" s="74"/>
    </row>
    <row r="764" spans="3:3" s="73" customFormat="1" x14ac:dyDescent="0.25">
      <c r="C764" s="74"/>
    </row>
    <row r="765" spans="3:3" s="73" customFormat="1" x14ac:dyDescent="0.25">
      <c r="C765" s="74"/>
    </row>
    <row r="766" spans="3:3" s="73" customFormat="1" x14ac:dyDescent="0.25">
      <c r="C766" s="74"/>
    </row>
    <row r="767" spans="3:3" s="73" customFormat="1" x14ac:dyDescent="0.25">
      <c r="C767" s="74"/>
    </row>
    <row r="768" spans="3:3" s="73" customFormat="1" x14ac:dyDescent="0.25">
      <c r="C768" s="74"/>
    </row>
    <row r="769" spans="3:3" s="73" customFormat="1" x14ac:dyDescent="0.25">
      <c r="C769" s="74"/>
    </row>
    <row r="770" spans="3:3" s="73" customFormat="1" x14ac:dyDescent="0.25">
      <c r="C770" s="74"/>
    </row>
    <row r="771" spans="3:3" s="73" customFormat="1" x14ac:dyDescent="0.25">
      <c r="C771" s="74"/>
    </row>
    <row r="772" spans="3:3" s="73" customFormat="1" x14ac:dyDescent="0.25">
      <c r="C772" s="74"/>
    </row>
    <row r="773" spans="3:3" s="73" customFormat="1" x14ac:dyDescent="0.25">
      <c r="C773" s="74"/>
    </row>
    <row r="774" spans="3:3" s="73" customFormat="1" x14ac:dyDescent="0.25">
      <c r="C774" s="74"/>
    </row>
    <row r="775" spans="3:3" s="73" customFormat="1" x14ac:dyDescent="0.25">
      <c r="C775" s="74"/>
    </row>
    <row r="776" spans="3:3" s="73" customFormat="1" x14ac:dyDescent="0.25">
      <c r="C776" s="74"/>
    </row>
    <row r="777" spans="3:3" s="73" customFormat="1" x14ac:dyDescent="0.25">
      <c r="C777" s="74"/>
    </row>
    <row r="778" spans="3:3" s="73" customFormat="1" x14ac:dyDescent="0.25">
      <c r="C778" s="74"/>
    </row>
    <row r="779" spans="3:3" s="73" customFormat="1" x14ac:dyDescent="0.25">
      <c r="C779" s="74"/>
    </row>
    <row r="780" spans="3:3" s="73" customFormat="1" x14ac:dyDescent="0.25">
      <c r="C780" s="74"/>
    </row>
    <row r="781" spans="3:3" s="73" customFormat="1" x14ac:dyDescent="0.25">
      <c r="C781" s="74"/>
    </row>
    <row r="782" spans="3:3" s="73" customFormat="1" x14ac:dyDescent="0.25">
      <c r="C782" s="74"/>
    </row>
    <row r="783" spans="3:3" s="73" customFormat="1" x14ac:dyDescent="0.25">
      <c r="C783" s="74"/>
    </row>
    <row r="784" spans="3:3" s="73" customFormat="1" x14ac:dyDescent="0.25">
      <c r="C784" s="74"/>
    </row>
    <row r="785" spans="3:3" s="73" customFormat="1" x14ac:dyDescent="0.25">
      <c r="C785" s="74"/>
    </row>
    <row r="786" spans="3:3" s="73" customFormat="1" x14ac:dyDescent="0.25">
      <c r="C786" s="74"/>
    </row>
    <row r="787" spans="3:3" s="73" customFormat="1" x14ac:dyDescent="0.25">
      <c r="C787" s="74"/>
    </row>
  </sheetData>
  <phoneticPr fontId="2" type="noConversion"/>
  <printOptions gridLines="1"/>
  <pageMargins left="0.19685039370078741" right="0.27559055118110237" top="0.27559055118110237" bottom="0.23622047244094491" header="0.19685039370078741" footer="0.15748031496062992"/>
  <pageSetup paperSize="9" scale="52"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view="pageBreakPreview" topLeftCell="B1" zoomScaleNormal="100" zoomScaleSheetLayoutView="100" workbookViewId="0">
      <selection activeCell="B1" sqref="A1:XFD1048576"/>
    </sheetView>
  </sheetViews>
  <sheetFormatPr defaultColWidth="9.140625" defaultRowHeight="15" x14ac:dyDescent="0.25"/>
  <cols>
    <col min="1" max="1" width="53.7109375" style="1" customWidth="1"/>
    <col min="2" max="2" width="38.140625" style="1" customWidth="1"/>
    <col min="3" max="3" width="28" style="97" bestFit="1" customWidth="1"/>
    <col min="4" max="4" width="15.7109375" style="97" customWidth="1"/>
    <col min="5" max="5" width="23.42578125" style="97" bestFit="1" customWidth="1"/>
    <col min="6" max="17" width="15.7109375" style="97" customWidth="1"/>
    <col min="18" max="16384" width="9.140625" style="1"/>
  </cols>
  <sheetData>
    <row r="1" spans="1:18" x14ac:dyDescent="0.25">
      <c r="C1" s="78" t="s">
        <v>7</v>
      </c>
      <c r="D1" s="78" t="s">
        <v>7</v>
      </c>
      <c r="E1" s="78" t="s">
        <v>7</v>
      </c>
      <c r="F1" s="78" t="s">
        <v>7</v>
      </c>
      <c r="G1" s="78" t="s">
        <v>7</v>
      </c>
      <c r="H1" s="78" t="s">
        <v>7</v>
      </c>
      <c r="I1" s="78" t="s">
        <v>7</v>
      </c>
      <c r="J1" s="78" t="s">
        <v>7</v>
      </c>
      <c r="K1" s="78" t="s">
        <v>7</v>
      </c>
      <c r="L1" s="78" t="s">
        <v>7</v>
      </c>
      <c r="M1" s="78" t="s">
        <v>7</v>
      </c>
      <c r="N1" s="78" t="s">
        <v>7</v>
      </c>
      <c r="O1" s="78" t="s">
        <v>7</v>
      </c>
      <c r="P1" s="78" t="s">
        <v>7</v>
      </c>
      <c r="Q1" s="78" t="s">
        <v>7</v>
      </c>
    </row>
    <row r="2" spans="1:18" s="46" customFormat="1" x14ac:dyDescent="0.25">
      <c r="A2" s="79"/>
      <c r="B2" s="43"/>
      <c r="C2" s="80">
        <f>'Funding Gap'!B4</f>
        <v>2021</v>
      </c>
      <c r="D2" s="80">
        <f>C2+1</f>
        <v>2022</v>
      </c>
      <c r="E2" s="80">
        <f t="shared" ref="E2:Q2" si="0">D2+1</f>
        <v>2023</v>
      </c>
      <c r="F2" s="80">
        <f t="shared" si="0"/>
        <v>2024</v>
      </c>
      <c r="G2" s="80">
        <f t="shared" si="0"/>
        <v>2025</v>
      </c>
      <c r="H2" s="80">
        <f t="shared" si="0"/>
        <v>2026</v>
      </c>
      <c r="I2" s="80">
        <f t="shared" si="0"/>
        <v>2027</v>
      </c>
      <c r="J2" s="80">
        <f t="shared" si="0"/>
        <v>2028</v>
      </c>
      <c r="K2" s="80">
        <f t="shared" si="0"/>
        <v>2029</v>
      </c>
      <c r="L2" s="80">
        <f t="shared" si="0"/>
        <v>2030</v>
      </c>
      <c r="M2" s="80">
        <f t="shared" si="0"/>
        <v>2031</v>
      </c>
      <c r="N2" s="80">
        <f t="shared" si="0"/>
        <v>2032</v>
      </c>
      <c r="O2" s="80">
        <f t="shared" si="0"/>
        <v>2033</v>
      </c>
      <c r="P2" s="80">
        <f t="shared" si="0"/>
        <v>2034</v>
      </c>
      <c r="Q2" s="80">
        <f t="shared" si="0"/>
        <v>2035</v>
      </c>
    </row>
    <row r="3" spans="1:18" s="82" customFormat="1" x14ac:dyDescent="0.25">
      <c r="A3" s="78" t="s">
        <v>1</v>
      </c>
      <c r="B3" s="78" t="s">
        <v>24</v>
      </c>
      <c r="C3" s="81"/>
      <c r="D3" s="81"/>
      <c r="E3" s="81"/>
      <c r="F3" s="81"/>
      <c r="G3" s="81"/>
      <c r="H3" s="81"/>
      <c r="I3" s="81"/>
      <c r="J3" s="81"/>
      <c r="K3" s="81"/>
      <c r="L3" s="81"/>
      <c r="M3" s="81"/>
      <c r="N3" s="81"/>
      <c r="O3" s="81"/>
      <c r="P3" s="81"/>
      <c r="Q3" s="81"/>
    </row>
    <row r="4" spans="1:18" s="41" customFormat="1" ht="75.400000000000006" customHeight="1" x14ac:dyDescent="0.25">
      <c r="A4" s="37" t="s">
        <v>36</v>
      </c>
      <c r="B4" s="83" t="s">
        <v>75</v>
      </c>
      <c r="C4" s="39"/>
      <c r="D4" s="40"/>
      <c r="E4" s="40"/>
      <c r="F4" s="40"/>
      <c r="G4" s="40"/>
      <c r="H4" s="40"/>
      <c r="I4" s="40"/>
      <c r="J4" s="40"/>
      <c r="K4" s="40"/>
      <c r="L4" s="40"/>
      <c r="M4" s="40"/>
      <c r="N4" s="40"/>
      <c r="O4" s="40"/>
      <c r="P4" s="40"/>
      <c r="Q4" s="40"/>
      <c r="R4" s="40"/>
    </row>
    <row r="5" spans="1:18" s="88" customFormat="1" x14ac:dyDescent="0.25">
      <c r="A5" s="84" t="s">
        <v>55</v>
      </c>
      <c r="B5" s="85"/>
      <c r="C5" s="86">
        <v>0</v>
      </c>
      <c r="D5" s="86">
        <v>0</v>
      </c>
      <c r="E5" s="86">
        <v>0</v>
      </c>
      <c r="F5" s="86">
        <v>75000</v>
      </c>
      <c r="G5" s="87">
        <f>F12</f>
        <v>465655</v>
      </c>
      <c r="H5" s="86">
        <f>G5</f>
        <v>465655</v>
      </c>
      <c r="I5" s="86">
        <f t="shared" ref="I5:Q5" si="1">H5</f>
        <v>465655</v>
      </c>
      <c r="J5" s="86">
        <f t="shared" si="1"/>
        <v>465655</v>
      </c>
      <c r="K5" s="86">
        <f t="shared" si="1"/>
        <v>465655</v>
      </c>
      <c r="L5" s="86">
        <f t="shared" si="1"/>
        <v>465655</v>
      </c>
      <c r="M5" s="86">
        <f t="shared" si="1"/>
        <v>465655</v>
      </c>
      <c r="N5" s="86">
        <f t="shared" si="1"/>
        <v>465655</v>
      </c>
      <c r="O5" s="86">
        <f t="shared" si="1"/>
        <v>465655</v>
      </c>
      <c r="P5" s="86">
        <f t="shared" si="1"/>
        <v>465655</v>
      </c>
      <c r="Q5" s="86">
        <f t="shared" si="1"/>
        <v>465655</v>
      </c>
    </row>
    <row r="6" spans="1:18" s="91" customFormat="1" ht="45" x14ac:dyDescent="0.25">
      <c r="A6" s="37" t="s">
        <v>116</v>
      </c>
      <c r="B6" s="37" t="s">
        <v>75</v>
      </c>
      <c r="C6" s="89"/>
      <c r="D6" s="90"/>
      <c r="E6" s="90"/>
      <c r="F6" s="90"/>
      <c r="G6" s="90"/>
      <c r="H6" s="90"/>
      <c r="I6" s="90"/>
      <c r="J6" s="90"/>
      <c r="K6" s="90"/>
      <c r="L6" s="90"/>
      <c r="M6" s="90"/>
      <c r="N6" s="90"/>
      <c r="O6" s="90"/>
      <c r="P6" s="90"/>
      <c r="Q6" s="90"/>
      <c r="R6" s="90"/>
    </row>
    <row r="7" spans="1:18" s="88" customFormat="1" x14ac:dyDescent="0.25">
      <c r="A7" s="84" t="s">
        <v>54</v>
      </c>
      <c r="B7" s="85"/>
      <c r="C7" s="86">
        <v>0</v>
      </c>
      <c r="D7" s="86">
        <v>0</v>
      </c>
      <c r="E7" s="86">
        <v>0</v>
      </c>
      <c r="F7" s="86">
        <v>10000</v>
      </c>
      <c r="G7" s="87">
        <f>$L$12</f>
        <v>56170</v>
      </c>
      <c r="H7" s="87">
        <f t="shared" ref="H7:Q7" si="2">$L$12</f>
        <v>56170</v>
      </c>
      <c r="I7" s="87">
        <f t="shared" si="2"/>
        <v>56170</v>
      </c>
      <c r="J7" s="87">
        <f t="shared" si="2"/>
        <v>56170</v>
      </c>
      <c r="K7" s="87">
        <f t="shared" si="2"/>
        <v>56170</v>
      </c>
      <c r="L7" s="87">
        <f t="shared" si="2"/>
        <v>56170</v>
      </c>
      <c r="M7" s="87">
        <f t="shared" si="2"/>
        <v>56170</v>
      </c>
      <c r="N7" s="87">
        <f t="shared" si="2"/>
        <v>56170</v>
      </c>
      <c r="O7" s="87">
        <f t="shared" si="2"/>
        <v>56170</v>
      </c>
      <c r="P7" s="87">
        <f t="shared" si="2"/>
        <v>56170</v>
      </c>
      <c r="Q7" s="87">
        <f t="shared" si="2"/>
        <v>56170</v>
      </c>
    </row>
    <row r="8" spans="1:18" s="2" customFormat="1" x14ac:dyDescent="0.25">
      <c r="A8" s="92" t="s">
        <v>25</v>
      </c>
      <c r="B8" s="93"/>
      <c r="C8" s="94">
        <f t="shared" ref="C8:Q8" si="3">SUM(C5:C7)</f>
        <v>0</v>
      </c>
      <c r="D8" s="94">
        <f t="shared" si="3"/>
        <v>0</v>
      </c>
      <c r="E8" s="94">
        <f t="shared" si="3"/>
        <v>0</v>
      </c>
      <c r="F8" s="94">
        <f t="shared" si="3"/>
        <v>85000</v>
      </c>
      <c r="G8" s="94">
        <f t="shared" si="3"/>
        <v>521825</v>
      </c>
      <c r="H8" s="94">
        <f t="shared" si="3"/>
        <v>521825</v>
      </c>
      <c r="I8" s="94">
        <f t="shared" si="3"/>
        <v>521825</v>
      </c>
      <c r="J8" s="94">
        <f t="shared" si="3"/>
        <v>521825</v>
      </c>
      <c r="K8" s="94">
        <f t="shared" si="3"/>
        <v>521825</v>
      </c>
      <c r="L8" s="94">
        <f t="shared" si="3"/>
        <v>521825</v>
      </c>
      <c r="M8" s="94">
        <f t="shared" si="3"/>
        <v>521825</v>
      </c>
      <c r="N8" s="94">
        <f t="shared" si="3"/>
        <v>521825</v>
      </c>
      <c r="O8" s="94">
        <f t="shared" si="3"/>
        <v>521825</v>
      </c>
      <c r="P8" s="94">
        <f t="shared" si="3"/>
        <v>521825</v>
      </c>
      <c r="Q8" s="94">
        <f t="shared" si="3"/>
        <v>521825</v>
      </c>
    </row>
    <row r="9" spans="1:18" x14ac:dyDescent="0.25">
      <c r="A9" s="95"/>
      <c r="B9" s="96"/>
    </row>
    <row r="12" spans="1:18" x14ac:dyDescent="0.25">
      <c r="A12" s="2" t="s">
        <v>56</v>
      </c>
      <c r="B12" s="2" t="s">
        <v>63</v>
      </c>
      <c r="F12" s="98">
        <f>F14+F15+F17+F18+F19+F21</f>
        <v>465655</v>
      </c>
      <c r="H12" s="97" t="s">
        <v>117</v>
      </c>
      <c r="L12" s="97">
        <f>L15+L16+L17+L20</f>
        <v>56170</v>
      </c>
    </row>
    <row r="13" spans="1:18" x14ac:dyDescent="0.25">
      <c r="A13" s="2" t="s">
        <v>57</v>
      </c>
      <c r="B13" s="1" t="s">
        <v>58</v>
      </c>
      <c r="C13" s="97" t="s">
        <v>59</v>
      </c>
      <c r="D13" s="97" t="s">
        <v>0</v>
      </c>
      <c r="E13" s="97" t="s">
        <v>62</v>
      </c>
      <c r="F13" s="97" t="s">
        <v>0</v>
      </c>
      <c r="G13" s="1"/>
      <c r="H13" s="97" t="s">
        <v>76</v>
      </c>
      <c r="L13" s="97" t="s">
        <v>0</v>
      </c>
    </row>
    <row r="14" spans="1:18" x14ac:dyDescent="0.25">
      <c r="A14" s="1" t="s">
        <v>60</v>
      </c>
      <c r="B14" s="1">
        <v>35</v>
      </c>
      <c r="C14" s="97">
        <v>250</v>
      </c>
      <c r="D14" s="97">
        <f>B14*C14*12</f>
        <v>105000</v>
      </c>
      <c r="E14" s="99">
        <v>0.85</v>
      </c>
      <c r="F14" s="97">
        <f>D14*E14</f>
        <v>89250</v>
      </c>
      <c r="G14" s="1"/>
      <c r="H14" s="97" t="s">
        <v>77</v>
      </c>
      <c r="I14" s="97" t="s">
        <v>78</v>
      </c>
      <c r="J14" s="97" t="s">
        <v>74</v>
      </c>
      <c r="K14" s="97" t="s">
        <v>79</v>
      </c>
    </row>
    <row r="15" spans="1:18" x14ac:dyDescent="0.25">
      <c r="A15" s="1" t="s">
        <v>61</v>
      </c>
      <c r="B15" s="1">
        <v>102</v>
      </c>
      <c r="C15" s="97">
        <v>275</v>
      </c>
      <c r="D15" s="97">
        <f>B15*C15*12</f>
        <v>336600</v>
      </c>
      <c r="E15" s="99">
        <v>0.85</v>
      </c>
      <c r="F15" s="97">
        <f>D15*E15</f>
        <v>286110</v>
      </c>
      <c r="G15" s="1"/>
      <c r="H15" s="97" t="s">
        <v>80</v>
      </c>
      <c r="I15" s="97">
        <v>192</v>
      </c>
      <c r="J15" s="97">
        <v>50</v>
      </c>
      <c r="K15" s="100">
        <v>0.85</v>
      </c>
      <c r="L15" s="97">
        <f>I15*J15*K15</f>
        <v>8160</v>
      </c>
    </row>
    <row r="16" spans="1:18" x14ac:dyDescent="0.25">
      <c r="A16" s="2" t="s">
        <v>64</v>
      </c>
      <c r="B16" s="1" t="s">
        <v>66</v>
      </c>
      <c r="C16" s="1" t="s">
        <v>67</v>
      </c>
      <c r="D16" s="97" t="s">
        <v>65</v>
      </c>
      <c r="E16" s="99" t="s">
        <v>68</v>
      </c>
      <c r="G16" s="1"/>
      <c r="H16" s="97" t="s">
        <v>81</v>
      </c>
      <c r="I16" s="97">
        <v>157</v>
      </c>
      <c r="J16" s="97">
        <v>50</v>
      </c>
      <c r="K16" s="100">
        <v>0.85</v>
      </c>
      <c r="L16" s="97">
        <f t="shared" ref="L16:L17" si="4">I16*J16*K16</f>
        <v>6672.5</v>
      </c>
    </row>
    <row r="17" spans="1:12" x14ac:dyDescent="0.25">
      <c r="A17" s="1" t="s">
        <v>69</v>
      </c>
      <c r="B17" s="1">
        <v>1</v>
      </c>
      <c r="C17" s="97">
        <v>11</v>
      </c>
      <c r="D17" s="97">
        <v>425</v>
      </c>
      <c r="E17" s="101">
        <v>10</v>
      </c>
      <c r="F17" s="97">
        <f>B17*C17*D17*E17</f>
        <v>46750</v>
      </c>
      <c r="G17" s="1"/>
      <c r="H17" s="97" t="s">
        <v>82</v>
      </c>
      <c r="I17" s="97">
        <v>182</v>
      </c>
      <c r="J17" s="97">
        <v>125</v>
      </c>
      <c r="K17" s="100">
        <v>0.85</v>
      </c>
      <c r="L17" s="97">
        <f t="shared" si="4"/>
        <v>19337.5</v>
      </c>
    </row>
    <row r="18" spans="1:12" x14ac:dyDescent="0.25">
      <c r="A18" s="1" t="s">
        <v>70</v>
      </c>
      <c r="B18" s="1">
        <v>3</v>
      </c>
      <c r="C18" s="97">
        <v>6</v>
      </c>
      <c r="D18" s="97">
        <v>100</v>
      </c>
      <c r="E18" s="101">
        <v>10</v>
      </c>
      <c r="F18" s="97">
        <f t="shared" ref="F18:F19" si="5">B18*C18*D18*E18</f>
        <v>18000</v>
      </c>
      <c r="G18" s="1"/>
      <c r="H18" s="97" t="s">
        <v>83</v>
      </c>
    </row>
    <row r="19" spans="1:12" x14ac:dyDescent="0.25">
      <c r="A19" s="1" t="s">
        <v>71</v>
      </c>
      <c r="B19" s="1">
        <v>1</v>
      </c>
      <c r="C19" s="97">
        <v>6</v>
      </c>
      <c r="D19" s="97">
        <v>175</v>
      </c>
      <c r="E19" s="101">
        <v>10</v>
      </c>
      <c r="F19" s="97">
        <f t="shared" si="5"/>
        <v>10500</v>
      </c>
      <c r="G19" s="1"/>
      <c r="H19" s="97" t="s">
        <v>84</v>
      </c>
      <c r="I19" s="97" t="s">
        <v>85</v>
      </c>
      <c r="J19" s="97" t="s">
        <v>86</v>
      </c>
      <c r="L19" s="1"/>
    </row>
    <row r="20" spans="1:12" x14ac:dyDescent="0.25">
      <c r="A20" s="2" t="s">
        <v>72</v>
      </c>
      <c r="B20" s="1" t="s">
        <v>73</v>
      </c>
      <c r="C20" s="97" t="s">
        <v>74</v>
      </c>
      <c r="D20" s="97" t="s">
        <v>0</v>
      </c>
      <c r="E20" s="99" t="s">
        <v>62</v>
      </c>
      <c r="F20" s="97" t="s">
        <v>0</v>
      </c>
      <c r="H20" s="97">
        <v>550</v>
      </c>
      <c r="I20" s="97">
        <v>4</v>
      </c>
      <c r="J20" s="97">
        <v>10</v>
      </c>
      <c r="L20" s="97">
        <f>H20*I20*J20</f>
        <v>22000</v>
      </c>
    </row>
    <row r="21" spans="1:12" x14ac:dyDescent="0.25">
      <c r="B21" s="1">
        <v>177</v>
      </c>
      <c r="C21" s="97">
        <v>100</v>
      </c>
      <c r="D21" s="97">
        <f>C21*B21</f>
        <v>17700</v>
      </c>
      <c r="E21" s="99">
        <v>0.85</v>
      </c>
      <c r="F21" s="97">
        <f>D21*E21</f>
        <v>15045</v>
      </c>
    </row>
    <row r="22" spans="1:12" x14ac:dyDescent="0.25">
      <c r="A22" s="102"/>
      <c r="B22" s="102"/>
    </row>
  </sheetData>
  <protectedRanges>
    <protectedRange sqref="I9:O9" name="Bereik1"/>
  </protectedRanges>
  <phoneticPr fontId="2" type="noConversion"/>
  <printOptions gridLines="1"/>
  <pageMargins left="0.27559055118110237" right="0.19685039370078741" top="0.27559055118110237" bottom="0.23622047244094491" header="0.19685039370078741" footer="0.15748031496062992"/>
  <pageSetup paperSize="9" scale="52" pageOrder="overThenDown" orientation="landscape" r:id="rId1"/>
  <headerFooter alignWithMargins="0"/>
  <ignoredErrors>
    <ignoredError sqref="D8:E8 I8:Q8 G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view="pageBreakPreview" topLeftCell="A4" zoomScaleNormal="100" zoomScaleSheetLayoutView="100" workbookViewId="0">
      <selection activeCell="A4" sqref="A1:XFD1048576"/>
    </sheetView>
  </sheetViews>
  <sheetFormatPr defaultRowHeight="15" x14ac:dyDescent="0.25"/>
  <cols>
    <col min="1" max="1" width="38.7109375" style="1" customWidth="1"/>
    <col min="2" max="2" width="38.140625" style="1" customWidth="1"/>
    <col min="3" max="4" width="15.7109375" style="1" customWidth="1"/>
    <col min="5" max="5" width="28" style="1" bestFit="1" customWidth="1"/>
    <col min="6" max="17" width="15.7109375" style="1" customWidth="1"/>
    <col min="18" max="16384" width="9.140625" style="1"/>
  </cols>
  <sheetData>
    <row r="1" spans="1:18" x14ac:dyDescent="0.25">
      <c r="C1" s="78" t="s">
        <v>7</v>
      </c>
      <c r="D1" s="78" t="s">
        <v>7</v>
      </c>
      <c r="E1" s="78" t="s">
        <v>7</v>
      </c>
      <c r="F1" s="78" t="s">
        <v>7</v>
      </c>
      <c r="G1" s="78" t="s">
        <v>7</v>
      </c>
      <c r="H1" s="78" t="s">
        <v>7</v>
      </c>
      <c r="I1" s="78" t="s">
        <v>7</v>
      </c>
      <c r="J1" s="78" t="s">
        <v>7</v>
      </c>
      <c r="K1" s="78" t="s">
        <v>7</v>
      </c>
      <c r="L1" s="78" t="s">
        <v>7</v>
      </c>
      <c r="M1" s="78" t="s">
        <v>7</v>
      </c>
      <c r="N1" s="78" t="s">
        <v>7</v>
      </c>
      <c r="O1" s="78" t="s">
        <v>7</v>
      </c>
      <c r="P1" s="78" t="s">
        <v>7</v>
      </c>
      <c r="Q1" s="78" t="s">
        <v>7</v>
      </c>
    </row>
    <row r="2" spans="1:18" x14ac:dyDescent="0.25">
      <c r="A2" s="79"/>
      <c r="B2" s="78" t="s">
        <v>24</v>
      </c>
      <c r="C2" s="80">
        <f>'Funding Gap'!B4</f>
        <v>2021</v>
      </c>
      <c r="D2" s="80">
        <f>C2+1</f>
        <v>2022</v>
      </c>
      <c r="E2" s="80">
        <f t="shared" ref="E2:Q2" si="0">D2+1</f>
        <v>2023</v>
      </c>
      <c r="F2" s="80">
        <f t="shared" si="0"/>
        <v>2024</v>
      </c>
      <c r="G2" s="80">
        <f t="shared" si="0"/>
        <v>2025</v>
      </c>
      <c r="H2" s="80">
        <f t="shared" si="0"/>
        <v>2026</v>
      </c>
      <c r="I2" s="80">
        <f t="shared" si="0"/>
        <v>2027</v>
      </c>
      <c r="J2" s="80">
        <f t="shared" si="0"/>
        <v>2028</v>
      </c>
      <c r="K2" s="80">
        <f t="shared" si="0"/>
        <v>2029</v>
      </c>
      <c r="L2" s="80">
        <f t="shared" si="0"/>
        <v>2030</v>
      </c>
      <c r="M2" s="80">
        <f t="shared" si="0"/>
        <v>2031</v>
      </c>
      <c r="N2" s="80">
        <f t="shared" si="0"/>
        <v>2032</v>
      </c>
      <c r="O2" s="80">
        <f t="shared" si="0"/>
        <v>2033</v>
      </c>
      <c r="P2" s="80">
        <f t="shared" si="0"/>
        <v>2034</v>
      </c>
      <c r="Q2" s="80">
        <f t="shared" si="0"/>
        <v>2035</v>
      </c>
    </row>
    <row r="3" spans="1:18" s="41" customFormat="1" ht="91.5" customHeight="1" x14ac:dyDescent="0.25">
      <c r="A3" s="37" t="s">
        <v>36</v>
      </c>
      <c r="B3" s="103" t="s">
        <v>87</v>
      </c>
      <c r="C3" s="39"/>
      <c r="D3" s="40"/>
      <c r="E3" s="40"/>
      <c r="F3" s="40"/>
      <c r="G3" s="40"/>
      <c r="H3" s="40"/>
      <c r="I3" s="40"/>
      <c r="J3" s="40"/>
      <c r="K3" s="40"/>
      <c r="L3" s="40"/>
      <c r="M3" s="40"/>
      <c r="N3" s="40"/>
      <c r="O3" s="40"/>
      <c r="P3" s="40"/>
      <c r="Q3" s="40"/>
      <c r="R3" s="40"/>
    </row>
    <row r="4" spans="1:18" s="88" customFormat="1" x14ac:dyDescent="0.25">
      <c r="A4" s="84" t="s">
        <v>25</v>
      </c>
      <c r="B4" s="85"/>
      <c r="C4" s="86">
        <v>0</v>
      </c>
      <c r="D4" s="86">
        <v>0</v>
      </c>
      <c r="E4" s="86">
        <v>0</v>
      </c>
      <c r="F4" s="86">
        <v>200000</v>
      </c>
      <c r="G4" s="104">
        <f>$B$10</f>
        <v>425971.1</v>
      </c>
      <c r="H4" s="104">
        <f t="shared" ref="H4:Q4" si="1">$B$10</f>
        <v>425971.1</v>
      </c>
      <c r="I4" s="104">
        <f t="shared" si="1"/>
        <v>425971.1</v>
      </c>
      <c r="J4" s="104">
        <f t="shared" si="1"/>
        <v>425971.1</v>
      </c>
      <c r="K4" s="104">
        <f t="shared" si="1"/>
        <v>425971.1</v>
      </c>
      <c r="L4" s="104">
        <f t="shared" si="1"/>
        <v>425971.1</v>
      </c>
      <c r="M4" s="104">
        <f t="shared" si="1"/>
        <v>425971.1</v>
      </c>
      <c r="N4" s="104">
        <f t="shared" si="1"/>
        <v>425971.1</v>
      </c>
      <c r="O4" s="104">
        <f t="shared" si="1"/>
        <v>425971.1</v>
      </c>
      <c r="P4" s="104">
        <f t="shared" si="1"/>
        <v>425971.1</v>
      </c>
      <c r="Q4" s="104">
        <f t="shared" si="1"/>
        <v>425971.1</v>
      </c>
    </row>
    <row r="5" spans="1:18" s="41" customFormat="1" ht="30" x14ac:dyDescent="0.25">
      <c r="A5" s="37" t="s">
        <v>116</v>
      </c>
      <c r="B5" s="103" t="s">
        <v>87</v>
      </c>
      <c r="C5" s="39"/>
      <c r="D5" s="40"/>
      <c r="E5" s="40"/>
      <c r="F5" s="40"/>
      <c r="G5" s="40"/>
      <c r="H5" s="40"/>
      <c r="I5" s="40"/>
      <c r="J5" s="40"/>
      <c r="K5" s="40"/>
      <c r="L5" s="40"/>
      <c r="M5" s="40"/>
      <c r="N5" s="40"/>
      <c r="O5" s="40"/>
      <c r="P5" s="40"/>
      <c r="Q5" s="40"/>
      <c r="R5" s="40"/>
    </row>
    <row r="6" spans="1:18" s="88" customFormat="1" x14ac:dyDescent="0.25">
      <c r="A6" s="84" t="s">
        <v>25</v>
      </c>
      <c r="B6" s="85"/>
      <c r="C6" s="86">
        <v>0</v>
      </c>
      <c r="D6" s="86">
        <v>0</v>
      </c>
      <c r="E6" s="86">
        <v>0</v>
      </c>
      <c r="F6" s="86">
        <v>40000</v>
      </c>
      <c r="G6" s="104">
        <f>$F$10</f>
        <v>79254.5</v>
      </c>
      <c r="H6" s="104">
        <f t="shared" ref="H6:Q6" si="2">$F$10</f>
        <v>79254.5</v>
      </c>
      <c r="I6" s="104">
        <f t="shared" si="2"/>
        <v>79254.5</v>
      </c>
      <c r="J6" s="104">
        <f t="shared" si="2"/>
        <v>79254.5</v>
      </c>
      <c r="K6" s="104">
        <f t="shared" si="2"/>
        <v>79254.5</v>
      </c>
      <c r="L6" s="104">
        <f t="shared" si="2"/>
        <v>79254.5</v>
      </c>
      <c r="M6" s="104">
        <f t="shared" si="2"/>
        <v>79254.5</v>
      </c>
      <c r="N6" s="104">
        <f t="shared" si="2"/>
        <v>79254.5</v>
      </c>
      <c r="O6" s="104">
        <f t="shared" si="2"/>
        <v>79254.5</v>
      </c>
      <c r="P6" s="104">
        <f t="shared" si="2"/>
        <v>79254.5</v>
      </c>
      <c r="Q6" s="104">
        <f t="shared" si="2"/>
        <v>79254.5</v>
      </c>
    </row>
    <row r="7" spans="1:18" x14ac:dyDescent="0.25">
      <c r="A7" s="92" t="s">
        <v>25</v>
      </c>
      <c r="B7" s="93"/>
      <c r="C7" s="105">
        <f t="shared" ref="C7:Q7" si="3">SUM(C4:C6)</f>
        <v>0</v>
      </c>
      <c r="D7" s="105">
        <f t="shared" si="3"/>
        <v>0</v>
      </c>
      <c r="E7" s="105">
        <f t="shared" si="3"/>
        <v>0</v>
      </c>
      <c r="F7" s="105">
        <f t="shared" si="3"/>
        <v>240000</v>
      </c>
      <c r="G7" s="105">
        <f t="shared" si="3"/>
        <v>505225.6</v>
      </c>
      <c r="H7" s="105">
        <f t="shared" si="3"/>
        <v>505225.6</v>
      </c>
      <c r="I7" s="105">
        <f t="shared" si="3"/>
        <v>505225.6</v>
      </c>
      <c r="J7" s="105">
        <f t="shared" si="3"/>
        <v>505225.6</v>
      </c>
      <c r="K7" s="105">
        <f t="shared" si="3"/>
        <v>505225.6</v>
      </c>
      <c r="L7" s="105">
        <f t="shared" si="3"/>
        <v>505225.6</v>
      </c>
      <c r="M7" s="105">
        <f t="shared" si="3"/>
        <v>505225.6</v>
      </c>
      <c r="N7" s="105">
        <f t="shared" si="3"/>
        <v>505225.6</v>
      </c>
      <c r="O7" s="105">
        <f t="shared" si="3"/>
        <v>505225.6</v>
      </c>
      <c r="P7" s="105">
        <f t="shared" si="3"/>
        <v>505225.6</v>
      </c>
      <c r="Q7" s="105">
        <f t="shared" si="3"/>
        <v>505225.6</v>
      </c>
    </row>
    <row r="10" spans="1:18" ht="15.75" x14ac:dyDescent="0.25">
      <c r="A10" s="106" t="s">
        <v>88</v>
      </c>
      <c r="B10" s="1">
        <f>B11+B19</f>
        <v>425971.1</v>
      </c>
      <c r="E10" s="106" t="s">
        <v>118</v>
      </c>
      <c r="F10" s="107">
        <f>F11+F19</f>
        <v>79254.5</v>
      </c>
    </row>
    <row r="11" spans="1:18" x14ac:dyDescent="0.25">
      <c r="A11" s="108" t="s">
        <v>89</v>
      </c>
      <c r="B11" s="2">
        <f>SUM(B12:B18)</f>
        <v>73959</v>
      </c>
      <c r="E11" s="1" t="s">
        <v>120</v>
      </c>
      <c r="F11" s="107">
        <f>SUM(F12:F14)</f>
        <v>30607</v>
      </c>
    </row>
    <row r="12" spans="1:18" x14ac:dyDescent="0.25">
      <c r="A12" s="109" t="s">
        <v>90</v>
      </c>
      <c r="B12" s="1">
        <v>9360</v>
      </c>
      <c r="E12" s="1" t="s">
        <v>111</v>
      </c>
      <c r="F12" s="1">
        <v>3000</v>
      </c>
    </row>
    <row r="13" spans="1:18" x14ac:dyDescent="0.25">
      <c r="A13" s="109" t="s">
        <v>91</v>
      </c>
      <c r="B13" s="1">
        <v>2250</v>
      </c>
      <c r="E13" s="1" t="s">
        <v>95</v>
      </c>
      <c r="F13" s="1">
        <v>13365</v>
      </c>
    </row>
    <row r="14" spans="1:18" x14ac:dyDescent="0.25">
      <c r="A14" s="109" t="s">
        <v>92</v>
      </c>
      <c r="B14" s="1">
        <v>3750</v>
      </c>
      <c r="E14" s="1" t="s">
        <v>112</v>
      </c>
      <c r="F14" s="1">
        <v>14242</v>
      </c>
    </row>
    <row r="15" spans="1:18" x14ac:dyDescent="0.25">
      <c r="A15" s="109" t="s">
        <v>93</v>
      </c>
      <c r="B15" s="1">
        <v>1500</v>
      </c>
    </row>
    <row r="16" spans="1:18" x14ac:dyDescent="0.25">
      <c r="A16" s="109" t="s">
        <v>94</v>
      </c>
      <c r="B16" s="1">
        <v>5625</v>
      </c>
    </row>
    <row r="17" spans="1:6" x14ac:dyDescent="0.25">
      <c r="A17" s="109" t="s">
        <v>95</v>
      </c>
      <c r="B17" s="1">
        <v>18750</v>
      </c>
    </row>
    <row r="18" spans="1:6" x14ac:dyDescent="0.25">
      <c r="A18" s="109" t="s">
        <v>96</v>
      </c>
      <c r="B18" s="1">
        <v>32724</v>
      </c>
    </row>
    <row r="19" spans="1:6" x14ac:dyDescent="0.25">
      <c r="A19" s="108" t="s">
        <v>10</v>
      </c>
      <c r="B19" s="2">
        <f>SUM(B20:B33)</f>
        <v>352012.1</v>
      </c>
      <c r="E19" s="1" t="s">
        <v>10</v>
      </c>
      <c r="F19" s="2">
        <f>SUM(F20:F33)</f>
        <v>48647.5</v>
      </c>
    </row>
    <row r="20" spans="1:6" x14ac:dyDescent="0.25">
      <c r="A20" s="109" t="s">
        <v>97</v>
      </c>
      <c r="B20" s="1">
        <v>60000</v>
      </c>
      <c r="E20" s="1" t="s">
        <v>97</v>
      </c>
      <c r="F20" s="1">
        <v>12000</v>
      </c>
    </row>
    <row r="21" spans="1:6" x14ac:dyDescent="0.25">
      <c r="A21" s="109" t="s">
        <v>98</v>
      </c>
      <c r="B21" s="1">
        <v>60000</v>
      </c>
      <c r="E21" s="1" t="s">
        <v>98</v>
      </c>
      <c r="F21" s="1">
        <v>0</v>
      </c>
    </row>
    <row r="22" spans="1:6" x14ac:dyDescent="0.25">
      <c r="A22" s="109" t="s">
        <v>99</v>
      </c>
      <c r="B22" s="1">
        <v>18000</v>
      </c>
      <c r="E22" s="1" t="s">
        <v>99</v>
      </c>
      <c r="F22" s="1">
        <v>3000</v>
      </c>
    </row>
    <row r="23" spans="1:6" x14ac:dyDescent="0.25">
      <c r="A23" s="109" t="s">
        <v>100</v>
      </c>
      <c r="B23" s="1">
        <v>4800</v>
      </c>
      <c r="E23" s="1" t="s">
        <v>100</v>
      </c>
      <c r="F23" s="1">
        <v>0</v>
      </c>
    </row>
    <row r="24" spans="1:6" x14ac:dyDescent="0.25">
      <c r="A24" s="109" t="s">
        <v>115</v>
      </c>
      <c r="B24" s="1">
        <v>43530</v>
      </c>
      <c r="E24" s="1" t="s">
        <v>101</v>
      </c>
      <c r="F24" s="1">
        <v>0</v>
      </c>
    </row>
    <row r="25" spans="1:6" x14ac:dyDescent="0.25">
      <c r="A25" s="109" t="s">
        <v>102</v>
      </c>
      <c r="B25" s="1">
        <v>52250</v>
      </c>
      <c r="E25" s="1" t="s">
        <v>102</v>
      </c>
      <c r="F25" s="1">
        <v>8125</v>
      </c>
    </row>
    <row r="26" spans="1:6" x14ac:dyDescent="0.25">
      <c r="A26" s="109" t="s">
        <v>103</v>
      </c>
      <c r="B26" s="1">
        <v>1800</v>
      </c>
      <c r="E26" s="1" t="s">
        <v>103</v>
      </c>
      <c r="F26" s="1">
        <v>1800</v>
      </c>
    </row>
    <row r="27" spans="1:6" x14ac:dyDescent="0.25">
      <c r="A27" s="109" t="s">
        <v>104</v>
      </c>
      <c r="B27" s="1">
        <v>39841</v>
      </c>
      <c r="E27" s="1" t="s">
        <v>104</v>
      </c>
      <c r="F27" s="1">
        <v>6500</v>
      </c>
    </row>
    <row r="28" spans="1:6" x14ac:dyDescent="0.25">
      <c r="A28" s="109" t="s">
        <v>105</v>
      </c>
      <c r="B28" s="1">
        <v>6000</v>
      </c>
      <c r="E28" s="1" t="s">
        <v>105</v>
      </c>
      <c r="F28" s="1">
        <v>3000</v>
      </c>
    </row>
    <row r="29" spans="1:6" x14ac:dyDescent="0.25">
      <c r="A29" s="109" t="s">
        <v>106</v>
      </c>
      <c r="B29" s="1">
        <v>1800</v>
      </c>
      <c r="E29" s="1" t="s">
        <v>106</v>
      </c>
      <c r="F29" s="1">
        <v>1800</v>
      </c>
    </row>
    <row r="30" spans="1:6" x14ac:dyDescent="0.25">
      <c r="A30" s="109" t="s">
        <v>107</v>
      </c>
      <c r="B30" s="1">
        <v>13990</v>
      </c>
      <c r="E30" s="1" t="s">
        <v>107</v>
      </c>
      <c r="F30" s="1">
        <v>0</v>
      </c>
    </row>
    <row r="31" spans="1:6" x14ac:dyDescent="0.25">
      <c r="A31" s="109" t="s">
        <v>108</v>
      </c>
      <c r="B31" s="1">
        <v>12000</v>
      </c>
      <c r="E31" s="1" t="s">
        <v>113</v>
      </c>
      <c r="F31" s="1">
        <v>5000</v>
      </c>
    </row>
    <row r="32" spans="1:6" x14ac:dyDescent="0.25">
      <c r="A32" s="109" t="s">
        <v>109</v>
      </c>
      <c r="B32" s="1">
        <v>6000</v>
      </c>
      <c r="E32" s="1" t="s">
        <v>109</v>
      </c>
      <c r="F32" s="1">
        <v>3000</v>
      </c>
    </row>
    <row r="33" spans="1:6" x14ac:dyDescent="0.25">
      <c r="A33" s="109" t="s">
        <v>110</v>
      </c>
      <c r="B33" s="1">
        <f>SUM(B20:B32)*0.1</f>
        <v>32001.100000000002</v>
      </c>
      <c r="E33" s="1" t="s">
        <v>114</v>
      </c>
      <c r="F33" s="1">
        <f>SUM(F20:F32)*0.1</f>
        <v>4422.5</v>
      </c>
    </row>
  </sheetData>
  <phoneticPr fontId="2"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view="pageBreakPreview" zoomScaleNormal="100" zoomScaleSheetLayoutView="100" workbookViewId="0">
      <selection sqref="A1:XFD1048576"/>
    </sheetView>
  </sheetViews>
  <sheetFormatPr defaultRowHeight="15" x14ac:dyDescent="0.25"/>
  <cols>
    <col min="1" max="4" width="20.7109375" style="111" customWidth="1"/>
    <col min="5" max="5" width="22.5703125" style="111" bestFit="1" customWidth="1"/>
    <col min="6" max="6" width="20.7109375" style="111" customWidth="1"/>
    <col min="7" max="7" width="32.5703125" style="111" bestFit="1" customWidth="1"/>
    <col min="8" max="8" width="20.7109375" style="111" customWidth="1"/>
    <col min="9" max="9" width="23" style="1" bestFit="1" customWidth="1"/>
    <col min="10" max="16384" width="9.140625" style="1"/>
  </cols>
  <sheetData>
    <row r="1" spans="1:9" x14ac:dyDescent="0.25">
      <c r="A1" s="110" t="s">
        <v>35</v>
      </c>
    </row>
    <row r="2" spans="1:9" ht="30" x14ac:dyDescent="0.25">
      <c r="A2" s="3" t="s">
        <v>7</v>
      </c>
      <c r="B2" s="4"/>
      <c r="C2" s="5" t="s">
        <v>3</v>
      </c>
      <c r="D2" s="5" t="s">
        <v>2</v>
      </c>
      <c r="E2" s="5" t="s">
        <v>19</v>
      </c>
      <c r="F2" s="5" t="s">
        <v>8</v>
      </c>
      <c r="G2" s="5" t="s">
        <v>12</v>
      </c>
      <c r="H2" s="5" t="s">
        <v>1</v>
      </c>
      <c r="I2" s="5" t="s">
        <v>13</v>
      </c>
    </row>
    <row r="3" spans="1:9" x14ac:dyDescent="0.25">
      <c r="A3" s="8"/>
      <c r="B3" s="8"/>
      <c r="C3" s="112">
        <v>0.04</v>
      </c>
      <c r="D3" s="8"/>
      <c r="E3" s="8"/>
      <c r="F3" s="11"/>
      <c r="G3" s="11"/>
      <c r="H3" s="11"/>
      <c r="I3" s="11"/>
    </row>
    <row r="4" spans="1:9" x14ac:dyDescent="0.25">
      <c r="A4" s="12">
        <f>'Funding Gap'!B4+Restwaarde!B4</f>
        <v>2036</v>
      </c>
      <c r="B4" s="8">
        <v>15</v>
      </c>
      <c r="C4" s="113">
        <f t="shared" ref="C4:C8" si="0">POWER((1+C$3),B4)</f>
        <v>1.8009435055069167</v>
      </c>
      <c r="D4" s="14">
        <f>Investeringen!R38*1.02</f>
        <v>208322.64134528433</v>
      </c>
      <c r="E4" s="14">
        <f>D4/C4</f>
        <v>115674.1678505052</v>
      </c>
      <c r="F4" s="15">
        <f>Exploitatiekosten!Q7*1.04</f>
        <v>525434.62399999995</v>
      </c>
      <c r="G4" s="15">
        <f>F4/C4</f>
        <v>291755.19520369649</v>
      </c>
      <c r="H4" s="15">
        <f>Inkomsten!Q8*1.04</f>
        <v>542698</v>
      </c>
      <c r="I4" s="15">
        <f>H4/C4</f>
        <v>301340.93509348884</v>
      </c>
    </row>
    <row r="5" spans="1:9" x14ac:dyDescent="0.25">
      <c r="A5" s="12">
        <f>A4+1</f>
        <v>2037</v>
      </c>
      <c r="B5" s="8">
        <v>16</v>
      </c>
      <c r="C5" s="113">
        <f t="shared" si="0"/>
        <v>1.8729812457271937</v>
      </c>
      <c r="D5" s="14">
        <f>D4*1.02</f>
        <v>212489.09417219003</v>
      </c>
      <c r="E5" s="14">
        <f t="shared" ref="E5:E8" si="1">D5/C5</f>
        <v>113449.66462261086</v>
      </c>
      <c r="F5" s="15">
        <f>F4*1.04</f>
        <v>546452.00896000001</v>
      </c>
      <c r="G5" s="15">
        <f t="shared" ref="G5:G8" si="2">F5/C5</f>
        <v>291755.19520369649</v>
      </c>
      <c r="H5" s="15">
        <f>H4*1.04</f>
        <v>564405.92000000004</v>
      </c>
      <c r="I5" s="15">
        <f t="shared" ref="I5:I8" si="3">H5/C5</f>
        <v>301340.93509348878</v>
      </c>
    </row>
    <row r="6" spans="1:9" x14ac:dyDescent="0.25">
      <c r="A6" s="12">
        <f t="shared" ref="A6:A33" si="4">A5+1</f>
        <v>2038</v>
      </c>
      <c r="B6" s="8">
        <v>17</v>
      </c>
      <c r="C6" s="113">
        <f t="shared" si="0"/>
        <v>1.9479004955562815</v>
      </c>
      <c r="D6" s="14">
        <f t="shared" ref="D6:D33" si="5">D5*1.04</f>
        <v>220988.65793907765</v>
      </c>
      <c r="E6" s="14">
        <f t="shared" si="1"/>
        <v>113449.66462261087</v>
      </c>
      <c r="F6" s="15">
        <f t="shared" ref="F6:F33" si="6">F5*1.04</f>
        <v>568310.08931840002</v>
      </c>
      <c r="G6" s="15">
        <f t="shared" si="2"/>
        <v>291755.19520369649</v>
      </c>
      <c r="H6" s="15">
        <f t="shared" ref="H6:H33" si="7">H5*1.04</f>
        <v>586982.15680000011</v>
      </c>
      <c r="I6" s="15">
        <f t="shared" si="3"/>
        <v>301340.93509348884</v>
      </c>
    </row>
    <row r="7" spans="1:9" x14ac:dyDescent="0.25">
      <c r="A7" s="12">
        <f t="shared" si="4"/>
        <v>2039</v>
      </c>
      <c r="B7" s="8">
        <v>18</v>
      </c>
      <c r="C7" s="113">
        <f t="shared" si="0"/>
        <v>2.025816515378533</v>
      </c>
      <c r="D7" s="14">
        <f t="shared" si="5"/>
        <v>229828.20425664075</v>
      </c>
      <c r="E7" s="14">
        <f t="shared" si="1"/>
        <v>113449.66462261086</v>
      </c>
      <c r="F7" s="15">
        <f t="shared" si="6"/>
        <v>591042.49289113609</v>
      </c>
      <c r="G7" s="15">
        <f t="shared" si="2"/>
        <v>291755.19520369649</v>
      </c>
      <c r="H7" s="15">
        <f t="shared" si="7"/>
        <v>610461.44307200017</v>
      </c>
      <c r="I7" s="15">
        <f t="shared" si="3"/>
        <v>301340.93509348878</v>
      </c>
    </row>
    <row r="8" spans="1:9" x14ac:dyDescent="0.25">
      <c r="A8" s="12">
        <f t="shared" si="4"/>
        <v>2040</v>
      </c>
      <c r="B8" s="8">
        <v>19</v>
      </c>
      <c r="C8" s="113">
        <f t="shared" si="0"/>
        <v>2.1068491759936743</v>
      </c>
      <c r="D8" s="14">
        <f t="shared" si="5"/>
        <v>239021.33242690639</v>
      </c>
      <c r="E8" s="14">
        <f t="shared" si="1"/>
        <v>113449.66462261086</v>
      </c>
      <c r="F8" s="15">
        <f t="shared" si="6"/>
        <v>614684.19260678161</v>
      </c>
      <c r="G8" s="15">
        <f t="shared" si="2"/>
        <v>291755.19520369655</v>
      </c>
      <c r="H8" s="15">
        <f t="shared" si="7"/>
        <v>634879.90079488023</v>
      </c>
      <c r="I8" s="15">
        <f t="shared" si="3"/>
        <v>301340.93509348884</v>
      </c>
    </row>
    <row r="9" spans="1:9" x14ac:dyDescent="0.25">
      <c r="A9" s="12">
        <f t="shared" si="4"/>
        <v>2041</v>
      </c>
      <c r="B9" s="8">
        <v>20</v>
      </c>
      <c r="C9" s="113">
        <f t="shared" ref="C9:C33" si="8">POWER((1+C$3),B9)</f>
        <v>2.1911231430334213</v>
      </c>
      <c r="D9" s="14">
        <f t="shared" si="5"/>
        <v>248582.18572398266</v>
      </c>
      <c r="E9" s="14">
        <f t="shared" ref="E9:E33" si="9">D9/C9</f>
        <v>113449.66462261087</v>
      </c>
      <c r="F9" s="15">
        <f t="shared" si="6"/>
        <v>639271.56031105295</v>
      </c>
      <c r="G9" s="15">
        <f t="shared" ref="G9:G33" si="10">F9/C9</f>
        <v>291755.19520369655</v>
      </c>
      <c r="H9" s="15">
        <f t="shared" si="7"/>
        <v>660275.09682667546</v>
      </c>
      <c r="I9" s="15">
        <f t="shared" ref="I9:I33" si="11">H9/C9</f>
        <v>301340.93509348884</v>
      </c>
    </row>
    <row r="10" spans="1:9" x14ac:dyDescent="0.25">
      <c r="A10" s="12">
        <f t="shared" si="4"/>
        <v>2042</v>
      </c>
      <c r="B10" s="8">
        <v>21</v>
      </c>
      <c r="C10" s="113">
        <f t="shared" si="8"/>
        <v>2.2787680687547587</v>
      </c>
      <c r="D10" s="14">
        <f t="shared" si="5"/>
        <v>258525.47315294197</v>
      </c>
      <c r="E10" s="14">
        <f t="shared" si="9"/>
        <v>113449.66462261084</v>
      </c>
      <c r="F10" s="15">
        <f t="shared" si="6"/>
        <v>664842.42272349505</v>
      </c>
      <c r="G10" s="15">
        <f t="shared" si="10"/>
        <v>291755.19520369649</v>
      </c>
      <c r="H10" s="15">
        <f t="shared" si="7"/>
        <v>686686.10069974256</v>
      </c>
      <c r="I10" s="15">
        <f t="shared" si="11"/>
        <v>301340.93509348878</v>
      </c>
    </row>
    <row r="11" spans="1:9" x14ac:dyDescent="0.25">
      <c r="A11" s="12">
        <f t="shared" si="4"/>
        <v>2043</v>
      </c>
      <c r="B11" s="8">
        <v>22</v>
      </c>
      <c r="C11" s="113">
        <f t="shared" si="8"/>
        <v>2.3699187915049489</v>
      </c>
      <c r="D11" s="14">
        <f t="shared" si="5"/>
        <v>268866.49207905965</v>
      </c>
      <c r="E11" s="14">
        <f t="shared" si="9"/>
        <v>113449.66462261084</v>
      </c>
      <c r="F11" s="15">
        <f t="shared" si="6"/>
        <v>691436.11963243491</v>
      </c>
      <c r="G11" s="15">
        <f t="shared" si="10"/>
        <v>291755.19520369649</v>
      </c>
      <c r="H11" s="15">
        <f t="shared" si="7"/>
        <v>714153.54472773231</v>
      </c>
      <c r="I11" s="15">
        <f t="shared" si="11"/>
        <v>301340.93509348884</v>
      </c>
    </row>
    <row r="12" spans="1:9" x14ac:dyDescent="0.25">
      <c r="A12" s="12">
        <f t="shared" si="4"/>
        <v>2044</v>
      </c>
      <c r="B12" s="8">
        <v>23</v>
      </c>
      <c r="C12" s="113">
        <f t="shared" si="8"/>
        <v>2.4647155431651466</v>
      </c>
      <c r="D12" s="14">
        <f t="shared" si="5"/>
        <v>279621.15176222206</v>
      </c>
      <c r="E12" s="14">
        <f t="shared" si="9"/>
        <v>113449.66462261087</v>
      </c>
      <c r="F12" s="15">
        <f t="shared" si="6"/>
        <v>719093.5644177323</v>
      </c>
      <c r="G12" s="15">
        <f t="shared" si="10"/>
        <v>291755.19520369655</v>
      </c>
      <c r="H12" s="15">
        <f t="shared" si="7"/>
        <v>742719.68651684164</v>
      </c>
      <c r="I12" s="15">
        <f t="shared" si="11"/>
        <v>301340.93509348889</v>
      </c>
    </row>
    <row r="13" spans="1:9" x14ac:dyDescent="0.25">
      <c r="A13" s="12">
        <f t="shared" si="4"/>
        <v>2045</v>
      </c>
      <c r="B13" s="8">
        <v>24</v>
      </c>
      <c r="C13" s="113">
        <f t="shared" si="8"/>
        <v>2.5633041648917527</v>
      </c>
      <c r="D13" s="14">
        <f t="shared" si="5"/>
        <v>290805.99783271097</v>
      </c>
      <c r="E13" s="14">
        <f t="shared" si="9"/>
        <v>113449.66462261087</v>
      </c>
      <c r="F13" s="15">
        <f t="shared" si="6"/>
        <v>747857.30699444166</v>
      </c>
      <c r="G13" s="15">
        <f t="shared" si="10"/>
        <v>291755.19520369655</v>
      </c>
      <c r="H13" s="15">
        <f t="shared" si="7"/>
        <v>772428.47397751536</v>
      </c>
      <c r="I13" s="15">
        <f t="shared" si="11"/>
        <v>301340.93509348889</v>
      </c>
    </row>
    <row r="14" spans="1:9" x14ac:dyDescent="0.25">
      <c r="A14" s="12">
        <f t="shared" si="4"/>
        <v>2046</v>
      </c>
      <c r="B14" s="8">
        <v>25</v>
      </c>
      <c r="C14" s="113">
        <f t="shared" si="8"/>
        <v>2.6658363314874234</v>
      </c>
      <c r="D14" s="14">
        <f t="shared" si="5"/>
        <v>302438.23774601944</v>
      </c>
      <c r="E14" s="14">
        <f t="shared" si="9"/>
        <v>113449.66462261086</v>
      </c>
      <c r="F14" s="15">
        <f t="shared" si="6"/>
        <v>777771.59927421936</v>
      </c>
      <c r="G14" s="15">
        <f t="shared" si="10"/>
        <v>291755.19520369649</v>
      </c>
      <c r="H14" s="15">
        <f t="shared" si="7"/>
        <v>803325.61293661594</v>
      </c>
      <c r="I14" s="15">
        <f t="shared" si="11"/>
        <v>301340.93509348878</v>
      </c>
    </row>
    <row r="15" spans="1:9" x14ac:dyDescent="0.25">
      <c r="A15" s="12">
        <f t="shared" si="4"/>
        <v>2047</v>
      </c>
      <c r="B15" s="8">
        <v>26</v>
      </c>
      <c r="C15" s="113">
        <f t="shared" si="8"/>
        <v>2.77246978474692</v>
      </c>
      <c r="D15" s="14">
        <f t="shared" si="5"/>
        <v>314535.76725586021</v>
      </c>
      <c r="E15" s="14">
        <f t="shared" si="9"/>
        <v>113449.66462261087</v>
      </c>
      <c r="F15" s="15">
        <f t="shared" si="6"/>
        <v>808882.46324518812</v>
      </c>
      <c r="G15" s="15">
        <f t="shared" si="10"/>
        <v>291755.19520369655</v>
      </c>
      <c r="H15" s="15">
        <f t="shared" si="7"/>
        <v>835458.63745408063</v>
      </c>
      <c r="I15" s="15">
        <f t="shared" si="11"/>
        <v>301340.93509348884</v>
      </c>
    </row>
    <row r="16" spans="1:9" x14ac:dyDescent="0.25">
      <c r="A16" s="12">
        <f t="shared" si="4"/>
        <v>2048</v>
      </c>
      <c r="B16" s="8">
        <v>27</v>
      </c>
      <c r="C16" s="113">
        <f t="shared" si="8"/>
        <v>2.8833685761367969</v>
      </c>
      <c r="D16" s="14">
        <f t="shared" si="5"/>
        <v>327117.19794609462</v>
      </c>
      <c r="E16" s="14">
        <f t="shared" si="9"/>
        <v>113449.66462261086</v>
      </c>
      <c r="F16" s="15">
        <f t="shared" si="6"/>
        <v>841237.76177499571</v>
      </c>
      <c r="G16" s="15">
        <f t="shared" si="10"/>
        <v>291755.19520369655</v>
      </c>
      <c r="H16" s="15">
        <f t="shared" si="7"/>
        <v>868876.98295224388</v>
      </c>
      <c r="I16" s="15">
        <f t="shared" si="11"/>
        <v>301340.93509348884</v>
      </c>
    </row>
    <row r="17" spans="1:9" x14ac:dyDescent="0.25">
      <c r="A17" s="12">
        <f t="shared" si="4"/>
        <v>2049</v>
      </c>
      <c r="B17" s="8">
        <v>28</v>
      </c>
      <c r="C17" s="113">
        <f t="shared" si="8"/>
        <v>2.9987033191822694</v>
      </c>
      <c r="D17" s="14">
        <f t="shared" si="5"/>
        <v>340201.88586393843</v>
      </c>
      <c r="E17" s="14">
        <f t="shared" si="9"/>
        <v>113449.66462261084</v>
      </c>
      <c r="F17" s="15">
        <f t="shared" si="6"/>
        <v>874887.27224599558</v>
      </c>
      <c r="G17" s="15">
        <f t="shared" si="10"/>
        <v>291755.19520369649</v>
      </c>
      <c r="H17" s="15">
        <f t="shared" si="7"/>
        <v>903632.06227033364</v>
      </c>
      <c r="I17" s="15">
        <f t="shared" si="11"/>
        <v>301340.93509348878</v>
      </c>
    </row>
    <row r="18" spans="1:9" x14ac:dyDescent="0.25">
      <c r="A18" s="12">
        <f t="shared" si="4"/>
        <v>2050</v>
      </c>
      <c r="B18" s="8">
        <v>29</v>
      </c>
      <c r="C18" s="113">
        <f t="shared" si="8"/>
        <v>3.1186514519495603</v>
      </c>
      <c r="D18" s="14">
        <f t="shared" si="5"/>
        <v>353809.961298496</v>
      </c>
      <c r="E18" s="14">
        <f t="shared" si="9"/>
        <v>113449.66462261086</v>
      </c>
      <c r="F18" s="15">
        <f t="shared" si="6"/>
        <v>909882.76313583541</v>
      </c>
      <c r="G18" s="15">
        <f t="shared" si="10"/>
        <v>291755.19520369649</v>
      </c>
      <c r="H18" s="15">
        <f t="shared" si="7"/>
        <v>939777.34476114705</v>
      </c>
      <c r="I18" s="15">
        <f t="shared" si="11"/>
        <v>301340.93509348878</v>
      </c>
    </row>
    <row r="19" spans="1:9" x14ac:dyDescent="0.25">
      <c r="A19" s="12">
        <f t="shared" si="4"/>
        <v>2051</v>
      </c>
      <c r="B19" s="8">
        <v>30</v>
      </c>
      <c r="C19" s="113">
        <f t="shared" si="8"/>
        <v>3.2433975100275423</v>
      </c>
      <c r="D19" s="14">
        <f t="shared" si="5"/>
        <v>367962.35975043586</v>
      </c>
      <c r="E19" s="14">
        <f t="shared" si="9"/>
        <v>113449.66462261087</v>
      </c>
      <c r="F19" s="15">
        <f t="shared" si="6"/>
        <v>946278.07366126881</v>
      </c>
      <c r="G19" s="15">
        <f t="shared" si="10"/>
        <v>291755.19520369649</v>
      </c>
      <c r="H19" s="15">
        <f t="shared" si="7"/>
        <v>977368.43855159299</v>
      </c>
      <c r="I19" s="15">
        <f t="shared" si="11"/>
        <v>301340.93509348884</v>
      </c>
    </row>
    <row r="20" spans="1:9" x14ac:dyDescent="0.25">
      <c r="A20" s="12">
        <f t="shared" si="4"/>
        <v>2052</v>
      </c>
      <c r="B20" s="8">
        <v>31</v>
      </c>
      <c r="C20" s="113">
        <f t="shared" si="8"/>
        <v>3.3731334104286441</v>
      </c>
      <c r="D20" s="14">
        <f t="shared" si="5"/>
        <v>382680.85414045333</v>
      </c>
      <c r="E20" s="14">
        <f t="shared" si="9"/>
        <v>113449.66462261089</v>
      </c>
      <c r="F20" s="15">
        <f t="shared" si="6"/>
        <v>984129.19660771964</v>
      </c>
      <c r="G20" s="15">
        <f t="shared" si="10"/>
        <v>291755.19520369649</v>
      </c>
      <c r="H20" s="15">
        <f t="shared" si="7"/>
        <v>1016463.1760936567</v>
      </c>
      <c r="I20" s="15">
        <f t="shared" si="11"/>
        <v>301340.93509348884</v>
      </c>
    </row>
    <row r="21" spans="1:9" x14ac:dyDescent="0.25">
      <c r="A21" s="12">
        <f t="shared" si="4"/>
        <v>2053</v>
      </c>
      <c r="B21" s="8">
        <v>32</v>
      </c>
      <c r="C21" s="113">
        <f t="shared" si="8"/>
        <v>3.5080587468457902</v>
      </c>
      <c r="D21" s="14">
        <f t="shared" si="5"/>
        <v>397988.08830607147</v>
      </c>
      <c r="E21" s="14">
        <f t="shared" si="9"/>
        <v>113449.66462261087</v>
      </c>
      <c r="F21" s="15">
        <f t="shared" si="6"/>
        <v>1023494.3644720285</v>
      </c>
      <c r="G21" s="15">
        <f t="shared" si="10"/>
        <v>291755.19520369649</v>
      </c>
      <c r="H21" s="15">
        <f t="shared" si="7"/>
        <v>1057121.7031374029</v>
      </c>
      <c r="I21" s="15">
        <f t="shared" si="11"/>
        <v>301340.93509348878</v>
      </c>
    </row>
    <row r="22" spans="1:9" x14ac:dyDescent="0.25">
      <c r="A22" s="12">
        <f t="shared" si="4"/>
        <v>2054</v>
      </c>
      <c r="B22" s="8">
        <v>33</v>
      </c>
      <c r="C22" s="113">
        <f t="shared" si="8"/>
        <v>3.6483810967196217</v>
      </c>
      <c r="D22" s="14">
        <f t="shared" si="5"/>
        <v>413907.61183831433</v>
      </c>
      <c r="E22" s="14">
        <f t="shared" si="9"/>
        <v>113449.66462261087</v>
      </c>
      <c r="F22" s="15">
        <f t="shared" si="6"/>
        <v>1064434.1390509096</v>
      </c>
      <c r="G22" s="15">
        <f t="shared" si="10"/>
        <v>291755.19520369649</v>
      </c>
      <c r="H22" s="15">
        <f t="shared" si="7"/>
        <v>1099406.5712628991</v>
      </c>
      <c r="I22" s="15">
        <f t="shared" si="11"/>
        <v>301340.93509348884</v>
      </c>
    </row>
    <row r="23" spans="1:9" x14ac:dyDescent="0.25">
      <c r="A23" s="12">
        <f t="shared" si="4"/>
        <v>2055</v>
      </c>
      <c r="B23" s="8">
        <v>34</v>
      </c>
      <c r="C23" s="113">
        <f t="shared" si="8"/>
        <v>3.7943163405884071</v>
      </c>
      <c r="D23" s="14">
        <f>D22*1.04</f>
        <v>430463.91631184693</v>
      </c>
      <c r="E23" s="14">
        <f t="shared" si="9"/>
        <v>113449.66462261087</v>
      </c>
      <c r="F23" s="15">
        <f t="shared" si="6"/>
        <v>1107011.504612946</v>
      </c>
      <c r="G23" s="15">
        <f t="shared" si="10"/>
        <v>291755.19520369649</v>
      </c>
      <c r="H23" s="15">
        <f t="shared" si="7"/>
        <v>1143382.8341134151</v>
      </c>
      <c r="I23" s="15">
        <f t="shared" si="11"/>
        <v>301340.93509348878</v>
      </c>
    </row>
    <row r="24" spans="1:9" x14ac:dyDescent="0.25">
      <c r="A24" s="12">
        <f t="shared" si="4"/>
        <v>2056</v>
      </c>
      <c r="B24" s="8">
        <v>35</v>
      </c>
      <c r="C24" s="113">
        <f t="shared" si="8"/>
        <v>3.9460889942119435</v>
      </c>
      <c r="D24" s="14">
        <f t="shared" si="5"/>
        <v>447682.4729643208</v>
      </c>
      <c r="E24" s="14">
        <f t="shared" si="9"/>
        <v>113449.66462261086</v>
      </c>
      <c r="F24" s="15">
        <f t="shared" si="6"/>
        <v>1151291.9647974637</v>
      </c>
      <c r="G24" s="15">
        <f t="shared" si="10"/>
        <v>291755.19520369644</v>
      </c>
      <c r="H24" s="15">
        <f t="shared" si="7"/>
        <v>1189118.1474779518</v>
      </c>
      <c r="I24" s="15">
        <f t="shared" si="11"/>
        <v>301340.93509348884</v>
      </c>
    </row>
    <row r="25" spans="1:9" x14ac:dyDescent="0.25">
      <c r="A25" s="12">
        <f t="shared" si="4"/>
        <v>2057</v>
      </c>
      <c r="B25" s="8">
        <v>36</v>
      </c>
      <c r="C25" s="113">
        <f t="shared" si="8"/>
        <v>4.103932553980421</v>
      </c>
      <c r="D25" s="14">
        <f t="shared" si="5"/>
        <v>465589.77188289363</v>
      </c>
      <c r="E25" s="14">
        <f t="shared" si="9"/>
        <v>113449.66462261087</v>
      </c>
      <c r="F25" s="15">
        <f t="shared" si="6"/>
        <v>1197343.6433893624</v>
      </c>
      <c r="G25" s="15">
        <f t="shared" si="10"/>
        <v>291755.19520369649</v>
      </c>
      <c r="H25" s="15">
        <f t="shared" si="7"/>
        <v>1236682.8733770701</v>
      </c>
      <c r="I25" s="15">
        <f t="shared" si="11"/>
        <v>301340.93509348889</v>
      </c>
    </row>
    <row r="26" spans="1:9" x14ac:dyDescent="0.25">
      <c r="A26" s="12">
        <f t="shared" si="4"/>
        <v>2058</v>
      </c>
      <c r="B26" s="8">
        <v>37</v>
      </c>
      <c r="C26" s="113">
        <f t="shared" si="8"/>
        <v>4.268089856139639</v>
      </c>
      <c r="D26" s="14">
        <f t="shared" si="5"/>
        <v>484213.36275820941</v>
      </c>
      <c r="E26" s="14">
        <f t="shared" si="9"/>
        <v>113449.66462261084</v>
      </c>
      <c r="F26" s="15">
        <f t="shared" si="6"/>
        <v>1245237.3891249369</v>
      </c>
      <c r="G26" s="15">
        <f t="shared" si="10"/>
        <v>291755.19520369644</v>
      </c>
      <c r="H26" s="15">
        <f t="shared" si="7"/>
        <v>1286150.1883121529</v>
      </c>
      <c r="I26" s="15">
        <f t="shared" si="11"/>
        <v>301340.93509348878</v>
      </c>
    </row>
    <row r="27" spans="1:9" x14ac:dyDescent="0.25">
      <c r="A27" s="12">
        <f t="shared" si="4"/>
        <v>2059</v>
      </c>
      <c r="B27" s="8">
        <v>38</v>
      </c>
      <c r="C27" s="113">
        <f t="shared" si="8"/>
        <v>4.4388134503852239</v>
      </c>
      <c r="D27" s="14">
        <f t="shared" si="5"/>
        <v>503581.89726853778</v>
      </c>
      <c r="E27" s="14">
        <f t="shared" si="9"/>
        <v>113449.66462261086</v>
      </c>
      <c r="F27" s="15">
        <f t="shared" si="6"/>
        <v>1295046.8846899343</v>
      </c>
      <c r="G27" s="15">
        <f t="shared" si="10"/>
        <v>291755.19520369644</v>
      </c>
      <c r="H27" s="15">
        <f t="shared" si="7"/>
        <v>1337596.1958446391</v>
      </c>
      <c r="I27" s="15">
        <f t="shared" si="11"/>
        <v>301340.93509348884</v>
      </c>
    </row>
    <row r="28" spans="1:9" x14ac:dyDescent="0.25">
      <c r="A28" s="12">
        <f t="shared" si="4"/>
        <v>2060</v>
      </c>
      <c r="B28" s="8">
        <v>39</v>
      </c>
      <c r="C28" s="113">
        <f t="shared" si="8"/>
        <v>4.6163659884006325</v>
      </c>
      <c r="D28" s="14">
        <f t="shared" si="5"/>
        <v>523725.17315927934</v>
      </c>
      <c r="E28" s="14">
        <f t="shared" si="9"/>
        <v>113449.66462261087</v>
      </c>
      <c r="F28" s="15">
        <f t="shared" si="6"/>
        <v>1346848.7600775317</v>
      </c>
      <c r="G28" s="15">
        <f t="shared" si="10"/>
        <v>291755.19520369644</v>
      </c>
      <c r="H28" s="15">
        <f t="shared" si="7"/>
        <v>1391100.0436784248</v>
      </c>
      <c r="I28" s="15">
        <f t="shared" si="11"/>
        <v>301340.93509348889</v>
      </c>
    </row>
    <row r="29" spans="1:9" x14ac:dyDescent="0.25">
      <c r="A29" s="12">
        <f t="shared" si="4"/>
        <v>2061</v>
      </c>
      <c r="B29" s="8">
        <v>40</v>
      </c>
      <c r="C29" s="113">
        <f t="shared" si="8"/>
        <v>4.8010206279366594</v>
      </c>
      <c r="D29" s="14">
        <f t="shared" si="5"/>
        <v>544674.18008565053</v>
      </c>
      <c r="E29" s="14">
        <f t="shared" si="9"/>
        <v>113449.66462261084</v>
      </c>
      <c r="F29" s="15">
        <f t="shared" si="6"/>
        <v>1400722.710480633</v>
      </c>
      <c r="G29" s="15">
        <f t="shared" si="10"/>
        <v>291755.19520369638</v>
      </c>
      <c r="H29" s="15">
        <f t="shared" si="7"/>
        <v>1446744.0454255617</v>
      </c>
      <c r="I29" s="15">
        <f t="shared" si="11"/>
        <v>301340.93509348878</v>
      </c>
    </row>
    <row r="30" spans="1:9" x14ac:dyDescent="0.25">
      <c r="A30" s="12">
        <f t="shared" si="4"/>
        <v>2062</v>
      </c>
      <c r="B30" s="8">
        <v>41</v>
      </c>
      <c r="C30" s="113">
        <f t="shared" si="8"/>
        <v>4.9930614530541257</v>
      </c>
      <c r="D30" s="14">
        <f t="shared" si="5"/>
        <v>566461.14728907659</v>
      </c>
      <c r="E30" s="14">
        <f t="shared" si="9"/>
        <v>113449.66462261086</v>
      </c>
      <c r="F30" s="15">
        <f t="shared" si="6"/>
        <v>1456751.6188998583</v>
      </c>
      <c r="G30" s="15">
        <f t="shared" si="10"/>
        <v>291755.19520369638</v>
      </c>
      <c r="H30" s="15">
        <f t="shared" si="7"/>
        <v>1504613.8072425842</v>
      </c>
      <c r="I30" s="15">
        <f t="shared" si="11"/>
        <v>301340.93509348878</v>
      </c>
    </row>
    <row r="31" spans="1:9" x14ac:dyDescent="0.25">
      <c r="A31" s="12">
        <f t="shared" si="4"/>
        <v>2063</v>
      </c>
      <c r="B31" s="8">
        <v>42</v>
      </c>
      <c r="C31" s="113">
        <f t="shared" si="8"/>
        <v>5.1927839111762903</v>
      </c>
      <c r="D31" s="14">
        <f t="shared" si="5"/>
        <v>589119.59318063967</v>
      </c>
      <c r="E31" s="14">
        <f t="shared" si="9"/>
        <v>113449.66462261087</v>
      </c>
      <c r="F31" s="15">
        <f t="shared" si="6"/>
        <v>1515021.6836558527</v>
      </c>
      <c r="G31" s="15">
        <f t="shared" si="10"/>
        <v>291755.19520369638</v>
      </c>
      <c r="H31" s="15">
        <f t="shared" si="7"/>
        <v>1564798.3595322876</v>
      </c>
      <c r="I31" s="15">
        <f t="shared" si="11"/>
        <v>301340.93509348884</v>
      </c>
    </row>
    <row r="32" spans="1:9" x14ac:dyDescent="0.25">
      <c r="A32" s="12">
        <f t="shared" si="4"/>
        <v>2064</v>
      </c>
      <c r="B32" s="8">
        <v>43</v>
      </c>
      <c r="C32" s="113">
        <f t="shared" si="8"/>
        <v>5.4004952676233424</v>
      </c>
      <c r="D32" s="14">
        <f t="shared" si="5"/>
        <v>612684.37690786528</v>
      </c>
      <c r="E32" s="14">
        <f t="shared" si="9"/>
        <v>113449.66462261086</v>
      </c>
      <c r="F32" s="15">
        <f t="shared" si="6"/>
        <v>1575622.5510020868</v>
      </c>
      <c r="G32" s="15">
        <f t="shared" si="10"/>
        <v>291755.19520369638</v>
      </c>
      <c r="H32" s="15">
        <f t="shared" si="7"/>
        <v>1627390.2939135791</v>
      </c>
      <c r="I32" s="15">
        <f t="shared" si="11"/>
        <v>301340.93509348878</v>
      </c>
    </row>
    <row r="33" spans="1:9" x14ac:dyDescent="0.25">
      <c r="A33" s="12">
        <f t="shared" si="4"/>
        <v>2065</v>
      </c>
      <c r="B33" s="8">
        <v>44</v>
      </c>
      <c r="C33" s="113">
        <f t="shared" si="8"/>
        <v>5.6165150783282769</v>
      </c>
      <c r="D33" s="14">
        <f t="shared" si="5"/>
        <v>637191.75198417995</v>
      </c>
      <c r="E33" s="14">
        <f t="shared" si="9"/>
        <v>113449.66462261086</v>
      </c>
      <c r="F33" s="15">
        <f t="shared" si="6"/>
        <v>1638647.4530421703</v>
      </c>
      <c r="G33" s="15">
        <f t="shared" si="10"/>
        <v>291755.19520369632</v>
      </c>
      <c r="H33" s="15">
        <f t="shared" si="7"/>
        <v>1692485.9056701222</v>
      </c>
      <c r="I33" s="15">
        <f t="shared" si="11"/>
        <v>301340.93509348878</v>
      </c>
    </row>
    <row r="34" spans="1:9" x14ac:dyDescent="0.25">
      <c r="A34" s="16" t="s">
        <v>0</v>
      </c>
      <c r="B34" s="8"/>
      <c r="C34" s="8"/>
      <c r="D34" s="17">
        <f>SUM(D4:D33)</f>
        <v>11463080.838629197</v>
      </c>
      <c r="E34" s="17">
        <f t="shared" ref="E34:I34" si="12">SUM(E4:E33)</f>
        <v>3405714.4419062207</v>
      </c>
      <c r="F34" s="17">
        <f t="shared" si="12"/>
        <v>29468968.179096416</v>
      </c>
      <c r="G34" s="17">
        <f t="shared" si="12"/>
        <v>8752655.8561108913</v>
      </c>
      <c r="H34" s="17">
        <f t="shared" si="12"/>
        <v>30437183.54742315</v>
      </c>
      <c r="I34" s="17">
        <f t="shared" si="12"/>
        <v>9040228.0528046619</v>
      </c>
    </row>
  </sheetData>
  <mergeCells count="1">
    <mergeCell ref="A2:B2"/>
  </mergeCells>
  <phoneticPr fontId="2" type="noConversion"/>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71"/>
  <sheetViews>
    <sheetView view="pageBreakPreview" zoomScaleNormal="100" zoomScaleSheetLayoutView="100" workbookViewId="0">
      <selection activeCell="E13" sqref="E13"/>
    </sheetView>
  </sheetViews>
  <sheetFormatPr defaultColWidth="9.140625" defaultRowHeight="15" x14ac:dyDescent="0.25"/>
  <cols>
    <col min="1" max="3" width="20.7109375" style="117" customWidth="1"/>
    <col min="4" max="4" width="20.7109375" style="118" customWidth="1"/>
    <col min="5" max="7" width="20.7109375" style="117" customWidth="1"/>
    <col min="8" max="8" width="10.42578125" style="119" customWidth="1"/>
    <col min="9" max="23" width="11.85546875" style="119" customWidth="1"/>
    <col min="24" max="32" width="11.85546875" style="117" customWidth="1"/>
    <col min="33" max="16384" width="9.140625" style="117"/>
  </cols>
  <sheetData>
    <row r="1" spans="1:32" s="114" customFormat="1" x14ac:dyDescent="0.25">
      <c r="A1" s="78" t="s">
        <v>2</v>
      </c>
      <c r="D1" s="115"/>
      <c r="H1" s="116"/>
      <c r="I1" s="116"/>
      <c r="J1" s="116"/>
      <c r="K1" s="116"/>
      <c r="L1" s="116"/>
      <c r="M1" s="116"/>
      <c r="N1" s="116"/>
      <c r="O1" s="116"/>
      <c r="P1" s="116"/>
      <c r="Q1" s="116"/>
      <c r="R1" s="116"/>
      <c r="S1" s="116"/>
      <c r="T1" s="116"/>
      <c r="U1" s="116"/>
      <c r="V1" s="116"/>
      <c r="W1" s="116"/>
    </row>
    <row r="7" spans="1:32" x14ac:dyDescent="0.25">
      <c r="A7" s="114"/>
    </row>
    <row r="9" spans="1:32" s="114" customFormat="1" x14ac:dyDescent="0.25">
      <c r="A9" s="117"/>
      <c r="D9" s="115"/>
      <c r="G9" s="120"/>
      <c r="H9" s="116"/>
      <c r="I9" s="116"/>
      <c r="J9" s="116"/>
      <c r="K9" s="116"/>
      <c r="L9" s="116"/>
      <c r="M9" s="116"/>
      <c r="N9" s="116"/>
      <c r="O9" s="116"/>
      <c r="P9" s="116"/>
      <c r="Q9" s="116"/>
      <c r="R9" s="116"/>
      <c r="S9" s="116"/>
      <c r="T9" s="116"/>
      <c r="U9" s="116"/>
      <c r="V9" s="116"/>
      <c r="W9" s="116"/>
    </row>
    <row r="10" spans="1:32" x14ac:dyDescent="0.25">
      <c r="A10" s="78" t="s">
        <v>1</v>
      </c>
      <c r="B10" s="121"/>
      <c r="C10" s="121"/>
      <c r="D10" s="121"/>
      <c r="E10" s="121"/>
      <c r="F10" s="122"/>
      <c r="G10" s="122"/>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row>
    <row r="11" spans="1:32" x14ac:dyDescent="0.25">
      <c r="B11" s="124"/>
      <c r="C11" s="124"/>
      <c r="D11" s="125"/>
      <c r="E11" s="124"/>
      <c r="F11" s="124"/>
      <c r="G11" s="124"/>
      <c r="H11" s="126"/>
      <c r="I11" s="126"/>
      <c r="J11" s="126"/>
      <c r="K11" s="126"/>
      <c r="L11" s="126"/>
      <c r="M11" s="126"/>
      <c r="N11" s="127"/>
      <c r="O11" s="127"/>
      <c r="P11" s="127"/>
      <c r="Q11" s="128"/>
      <c r="R11" s="127"/>
      <c r="S11" s="128"/>
      <c r="T11" s="127"/>
      <c r="U11" s="128"/>
      <c r="V11" s="127"/>
      <c r="W11" s="126"/>
      <c r="X11" s="126"/>
      <c r="Y11" s="126"/>
      <c r="Z11" s="126"/>
    </row>
    <row r="12" spans="1:32" x14ac:dyDescent="0.25">
      <c r="B12" s="129"/>
      <c r="C12" s="130"/>
      <c r="D12" s="131"/>
      <c r="E12" s="132"/>
      <c r="F12" s="133"/>
      <c r="G12" s="134"/>
      <c r="H12" s="135"/>
      <c r="I12" s="135"/>
      <c r="J12" s="135"/>
      <c r="K12" s="135"/>
      <c r="L12" s="135"/>
      <c r="M12" s="135"/>
      <c r="N12" s="136"/>
      <c r="O12" s="135"/>
      <c r="P12" s="135"/>
      <c r="Q12" s="135"/>
      <c r="R12" s="135"/>
      <c r="S12" s="135"/>
      <c r="T12" s="135"/>
      <c r="U12" s="135"/>
      <c r="V12" s="135"/>
      <c r="W12" s="136"/>
      <c r="X12" s="136"/>
      <c r="Y12" s="135"/>
      <c r="Z12" s="135"/>
    </row>
    <row r="13" spans="1:32" x14ac:dyDescent="0.25">
      <c r="B13" s="129"/>
      <c r="C13" s="130"/>
      <c r="D13" s="131"/>
      <c r="E13" s="132"/>
      <c r="F13" s="133"/>
      <c r="G13" s="122"/>
      <c r="H13" s="135"/>
      <c r="I13" s="135"/>
      <c r="J13" s="135"/>
      <c r="K13" s="135"/>
      <c r="L13" s="135"/>
      <c r="M13" s="135"/>
      <c r="N13" s="136"/>
      <c r="O13" s="135"/>
      <c r="P13" s="135"/>
      <c r="Q13" s="135"/>
      <c r="R13" s="135"/>
      <c r="S13" s="135"/>
      <c r="T13" s="135"/>
      <c r="U13" s="135"/>
      <c r="V13" s="135"/>
      <c r="W13" s="136"/>
      <c r="X13" s="136"/>
      <c r="Y13" s="135"/>
      <c r="Z13" s="135"/>
    </row>
    <row r="14" spans="1:32" x14ac:dyDescent="0.25">
      <c r="B14" s="129"/>
      <c r="C14" s="130"/>
      <c r="D14" s="131"/>
      <c r="E14" s="132"/>
      <c r="F14" s="133"/>
      <c r="G14" s="134"/>
      <c r="H14" s="135"/>
      <c r="I14" s="135"/>
      <c r="J14" s="135"/>
      <c r="K14" s="135"/>
      <c r="L14" s="135"/>
      <c r="M14" s="135"/>
      <c r="N14" s="136"/>
      <c r="O14" s="135"/>
      <c r="P14" s="135"/>
      <c r="Q14" s="135"/>
      <c r="R14" s="135"/>
      <c r="S14" s="135"/>
      <c r="T14" s="135"/>
      <c r="U14" s="135"/>
      <c r="V14" s="135"/>
      <c r="W14" s="136"/>
      <c r="X14" s="136"/>
      <c r="Y14" s="135"/>
      <c r="Z14" s="135"/>
    </row>
    <row r="15" spans="1:32" x14ac:dyDescent="0.25">
      <c r="B15" s="129"/>
      <c r="C15" s="130"/>
      <c r="D15" s="131"/>
      <c r="E15" s="132"/>
      <c r="F15" s="133"/>
      <c r="G15" s="122"/>
      <c r="H15" s="135"/>
      <c r="I15" s="135"/>
      <c r="J15" s="135"/>
      <c r="K15" s="135"/>
      <c r="L15" s="135"/>
      <c r="M15" s="135"/>
      <c r="N15" s="136"/>
      <c r="O15" s="135"/>
      <c r="P15" s="135"/>
      <c r="Q15" s="135"/>
      <c r="R15" s="135"/>
      <c r="S15" s="135"/>
      <c r="T15" s="135"/>
      <c r="U15" s="135"/>
      <c r="V15" s="135"/>
      <c r="W15" s="136"/>
      <c r="X15" s="136"/>
      <c r="Y15" s="135"/>
      <c r="Z15" s="135"/>
    </row>
    <row r="16" spans="1:32" x14ac:dyDescent="0.25">
      <c r="B16" s="129"/>
      <c r="C16" s="130"/>
      <c r="D16" s="131"/>
      <c r="E16" s="132"/>
      <c r="F16" s="133"/>
      <c r="G16" s="122"/>
      <c r="H16" s="135"/>
      <c r="I16" s="135"/>
      <c r="J16" s="135"/>
      <c r="K16" s="135"/>
      <c r="L16" s="135"/>
      <c r="M16" s="135"/>
      <c r="N16" s="136"/>
      <c r="O16" s="135"/>
      <c r="P16" s="135"/>
      <c r="Q16" s="135"/>
      <c r="R16" s="135"/>
      <c r="S16" s="135"/>
      <c r="T16" s="135"/>
      <c r="U16" s="135"/>
      <c r="V16" s="135"/>
      <c r="W16" s="136"/>
      <c r="X16" s="136"/>
      <c r="Y16" s="135"/>
      <c r="Z16" s="135"/>
    </row>
    <row r="17" spans="1:26" x14ac:dyDescent="0.25">
      <c r="B17" s="129"/>
      <c r="C17" s="130"/>
      <c r="D17" s="131"/>
      <c r="E17" s="132"/>
      <c r="F17" s="133"/>
      <c r="G17" s="133"/>
      <c r="H17" s="135"/>
      <c r="I17" s="135"/>
      <c r="J17" s="135"/>
      <c r="K17" s="135"/>
      <c r="L17" s="137"/>
      <c r="M17" s="135"/>
      <c r="N17" s="136"/>
      <c r="O17" s="137"/>
      <c r="P17" s="135"/>
      <c r="Q17" s="137"/>
      <c r="R17" s="135"/>
      <c r="S17" s="137"/>
      <c r="T17" s="135"/>
      <c r="U17" s="137"/>
      <c r="V17" s="135"/>
      <c r="W17" s="136"/>
      <c r="X17" s="136"/>
      <c r="Y17" s="135"/>
      <c r="Z17" s="135"/>
    </row>
    <row r="18" spans="1:26" x14ac:dyDescent="0.25">
      <c r="B18" s="129"/>
      <c r="C18" s="130"/>
      <c r="D18" s="131"/>
      <c r="E18" s="132"/>
      <c r="F18" s="133"/>
      <c r="G18" s="133"/>
      <c r="H18" s="135"/>
      <c r="I18" s="135"/>
      <c r="J18" s="135"/>
      <c r="K18" s="135"/>
      <c r="L18" s="137"/>
      <c r="M18" s="135"/>
      <c r="N18" s="136"/>
      <c r="O18" s="137"/>
      <c r="P18" s="135"/>
      <c r="Q18" s="137"/>
      <c r="R18" s="135"/>
      <c r="S18" s="137"/>
      <c r="T18" s="135"/>
      <c r="U18" s="137"/>
      <c r="V18" s="135"/>
      <c r="W18" s="136"/>
      <c r="X18" s="136"/>
      <c r="Y18" s="135"/>
      <c r="Z18" s="135"/>
    </row>
    <row r="19" spans="1:26" x14ac:dyDescent="0.25">
      <c r="A19" s="78" t="s">
        <v>8</v>
      </c>
      <c r="B19" s="129"/>
      <c r="C19" s="130"/>
      <c r="D19" s="131"/>
      <c r="E19" s="132"/>
      <c r="F19" s="133"/>
      <c r="G19" s="133"/>
      <c r="H19" s="135"/>
      <c r="I19" s="135"/>
      <c r="J19" s="135"/>
      <c r="K19" s="135"/>
      <c r="L19" s="137"/>
      <c r="M19" s="135"/>
      <c r="N19" s="136"/>
      <c r="O19" s="137"/>
      <c r="P19" s="135"/>
      <c r="Q19" s="137"/>
      <c r="R19" s="135"/>
      <c r="S19" s="137"/>
      <c r="T19" s="135"/>
      <c r="U19" s="137"/>
      <c r="V19" s="135"/>
      <c r="W19" s="136"/>
      <c r="X19" s="136"/>
      <c r="Y19" s="135"/>
      <c r="Z19" s="135"/>
    </row>
    <row r="20" spans="1:26" x14ac:dyDescent="0.25">
      <c r="B20" s="129"/>
      <c r="C20" s="130"/>
      <c r="D20" s="131"/>
      <c r="E20" s="132"/>
      <c r="F20" s="133"/>
      <c r="G20" s="133"/>
      <c r="H20" s="135"/>
      <c r="I20" s="135"/>
      <c r="J20" s="135"/>
      <c r="K20" s="135"/>
      <c r="L20" s="135"/>
      <c r="M20" s="135"/>
      <c r="N20" s="136"/>
      <c r="O20" s="135"/>
      <c r="P20" s="135"/>
      <c r="Q20" s="135"/>
      <c r="R20" s="135"/>
      <c r="S20" s="135"/>
      <c r="T20" s="135"/>
      <c r="U20" s="135"/>
      <c r="V20" s="135"/>
      <c r="W20" s="136"/>
      <c r="X20" s="136"/>
      <c r="Y20" s="135"/>
      <c r="Z20" s="135"/>
    </row>
    <row r="21" spans="1:26" x14ac:dyDescent="0.25">
      <c r="B21" s="129"/>
      <c r="C21" s="130"/>
      <c r="D21" s="131"/>
      <c r="E21" s="132"/>
      <c r="F21" s="133"/>
      <c r="G21" s="134"/>
      <c r="H21" s="135"/>
      <c r="I21" s="135"/>
      <c r="J21" s="135"/>
      <c r="K21" s="135"/>
      <c r="L21" s="135"/>
      <c r="M21" s="135"/>
      <c r="N21" s="136"/>
      <c r="O21" s="135"/>
      <c r="P21" s="135"/>
      <c r="Q21" s="135"/>
      <c r="R21" s="135"/>
      <c r="S21" s="135"/>
      <c r="T21" s="135"/>
      <c r="U21" s="135"/>
      <c r="V21" s="135"/>
      <c r="W21" s="136"/>
      <c r="X21" s="136"/>
      <c r="Y21" s="135"/>
      <c r="Z21" s="135"/>
    </row>
    <row r="22" spans="1:26" x14ac:dyDescent="0.25">
      <c r="B22" s="129"/>
      <c r="C22" s="130"/>
      <c r="D22" s="131"/>
      <c r="E22" s="132"/>
      <c r="F22" s="133"/>
      <c r="G22" s="122"/>
      <c r="H22" s="135"/>
      <c r="I22" s="135"/>
      <c r="J22" s="135"/>
      <c r="K22" s="135"/>
      <c r="L22" s="135"/>
      <c r="M22" s="135"/>
      <c r="N22" s="136"/>
      <c r="O22" s="135"/>
      <c r="P22" s="135"/>
      <c r="Q22" s="135"/>
      <c r="R22" s="135"/>
      <c r="S22" s="135"/>
      <c r="T22" s="135"/>
      <c r="U22" s="135"/>
      <c r="V22" s="135"/>
      <c r="W22" s="136"/>
      <c r="X22" s="136"/>
      <c r="Y22" s="135"/>
      <c r="Z22" s="135"/>
    </row>
    <row r="23" spans="1:26" x14ac:dyDescent="0.25">
      <c r="B23" s="129"/>
      <c r="C23" s="130"/>
      <c r="D23" s="131"/>
      <c r="E23" s="132"/>
      <c r="F23" s="133"/>
      <c r="G23" s="133"/>
      <c r="H23" s="135"/>
      <c r="I23" s="135"/>
      <c r="J23" s="135"/>
      <c r="K23" s="135"/>
      <c r="L23" s="137"/>
      <c r="M23" s="135"/>
      <c r="N23" s="136"/>
      <c r="O23" s="137"/>
      <c r="P23" s="135"/>
      <c r="Q23" s="137"/>
      <c r="R23" s="135"/>
      <c r="S23" s="137"/>
      <c r="T23" s="135"/>
      <c r="U23" s="137"/>
      <c r="V23" s="135"/>
      <c r="W23" s="136"/>
      <c r="X23" s="136"/>
      <c r="Y23" s="135"/>
      <c r="Z23" s="135"/>
    </row>
    <row r="24" spans="1:26" x14ac:dyDescent="0.25">
      <c r="B24" s="129"/>
      <c r="C24" s="130"/>
      <c r="D24" s="131"/>
      <c r="E24" s="132"/>
      <c r="F24" s="133"/>
      <c r="G24" s="133"/>
      <c r="H24" s="135"/>
      <c r="I24" s="135"/>
      <c r="J24" s="135"/>
      <c r="K24" s="135"/>
      <c r="L24" s="137"/>
      <c r="M24" s="135"/>
      <c r="N24" s="136"/>
      <c r="O24" s="137"/>
      <c r="P24" s="135"/>
      <c r="Q24" s="137"/>
      <c r="R24" s="135"/>
      <c r="S24" s="137"/>
      <c r="T24" s="135"/>
      <c r="U24" s="137"/>
      <c r="V24" s="135"/>
      <c r="W24" s="136"/>
      <c r="X24" s="136"/>
      <c r="Y24" s="135"/>
      <c r="Z24" s="135"/>
    </row>
    <row r="25" spans="1:26" x14ac:dyDescent="0.25">
      <c r="B25" s="129"/>
      <c r="C25" s="130"/>
      <c r="D25" s="131"/>
      <c r="E25" s="132"/>
      <c r="F25" s="133"/>
      <c r="G25" s="133"/>
      <c r="H25" s="135"/>
      <c r="I25" s="135"/>
      <c r="J25" s="135"/>
      <c r="K25" s="135"/>
      <c r="L25" s="137"/>
      <c r="M25" s="135"/>
      <c r="N25" s="136"/>
      <c r="O25" s="137"/>
      <c r="P25" s="135"/>
      <c r="Q25" s="137"/>
      <c r="R25" s="135"/>
      <c r="S25" s="137"/>
      <c r="T25" s="135"/>
      <c r="U25" s="137"/>
      <c r="V25" s="135"/>
      <c r="W25" s="136"/>
      <c r="X25" s="136"/>
      <c r="Y25" s="135"/>
      <c r="Z25" s="135"/>
    </row>
    <row r="26" spans="1:26" x14ac:dyDescent="0.25">
      <c r="B26" s="129"/>
      <c r="C26" s="130"/>
      <c r="D26" s="131"/>
      <c r="E26" s="132"/>
      <c r="F26" s="133"/>
      <c r="G26" s="133"/>
      <c r="H26" s="135"/>
      <c r="I26" s="135"/>
      <c r="J26" s="135"/>
      <c r="K26" s="135"/>
      <c r="L26" s="137"/>
      <c r="M26" s="135"/>
      <c r="N26" s="136"/>
      <c r="O26" s="137"/>
      <c r="P26" s="135"/>
      <c r="Q26" s="137"/>
      <c r="R26" s="135"/>
      <c r="S26" s="137"/>
      <c r="T26" s="135"/>
      <c r="U26" s="137"/>
      <c r="V26" s="135"/>
      <c r="W26" s="136"/>
      <c r="X26" s="136"/>
      <c r="Y26" s="135"/>
      <c r="Z26" s="135"/>
    </row>
    <row r="27" spans="1:26" x14ac:dyDescent="0.25">
      <c r="B27" s="129"/>
      <c r="C27" s="130"/>
      <c r="D27" s="131"/>
      <c r="E27" s="132"/>
      <c r="F27" s="133"/>
      <c r="G27" s="133"/>
      <c r="H27" s="135"/>
      <c r="I27" s="135"/>
      <c r="J27" s="135"/>
      <c r="K27" s="135"/>
      <c r="L27" s="135"/>
      <c r="M27" s="135"/>
      <c r="N27" s="136"/>
      <c r="O27" s="135"/>
      <c r="P27" s="135"/>
      <c r="Q27" s="135"/>
      <c r="R27" s="135"/>
      <c r="S27" s="135"/>
      <c r="T27" s="135"/>
      <c r="U27" s="135"/>
      <c r="V27" s="135"/>
      <c r="W27" s="136"/>
      <c r="X27" s="136"/>
      <c r="Y27" s="135"/>
      <c r="Z27" s="135"/>
    </row>
    <row r="28" spans="1:26" x14ac:dyDescent="0.25">
      <c r="B28" s="129"/>
      <c r="C28" s="130"/>
      <c r="D28" s="131"/>
      <c r="E28" s="132"/>
      <c r="F28" s="133"/>
      <c r="G28" s="133"/>
      <c r="H28" s="135"/>
      <c r="I28" s="135"/>
      <c r="J28" s="135"/>
      <c r="K28" s="135"/>
      <c r="L28" s="137"/>
      <c r="M28" s="135"/>
      <c r="N28" s="136"/>
      <c r="O28" s="137"/>
      <c r="P28" s="135"/>
      <c r="Q28" s="137"/>
      <c r="R28" s="135"/>
      <c r="S28" s="137"/>
      <c r="T28" s="135"/>
      <c r="U28" s="137"/>
      <c r="V28" s="135"/>
      <c r="W28" s="136"/>
      <c r="X28" s="136"/>
      <c r="Y28" s="135"/>
      <c r="Z28" s="135"/>
    </row>
    <row r="29" spans="1:26" x14ac:dyDescent="0.25">
      <c r="B29" s="129"/>
      <c r="C29" s="130"/>
      <c r="D29" s="131"/>
      <c r="E29" s="132"/>
      <c r="F29" s="133"/>
      <c r="G29" s="133"/>
      <c r="H29" s="135"/>
      <c r="I29" s="135"/>
      <c r="J29" s="135"/>
      <c r="K29" s="135"/>
      <c r="L29" s="137"/>
      <c r="M29" s="135"/>
      <c r="N29" s="136"/>
      <c r="O29" s="137"/>
      <c r="P29" s="135"/>
      <c r="Q29" s="137"/>
      <c r="R29" s="135"/>
      <c r="S29" s="137"/>
      <c r="T29" s="135"/>
      <c r="U29" s="137"/>
      <c r="V29" s="135"/>
      <c r="W29" s="136"/>
      <c r="X29" s="136"/>
      <c r="Y29" s="135"/>
      <c r="Z29" s="135"/>
    </row>
    <row r="30" spans="1:26" x14ac:dyDescent="0.25">
      <c r="B30" s="129"/>
      <c r="C30" s="130"/>
      <c r="D30" s="131"/>
      <c r="E30" s="132"/>
      <c r="F30" s="133"/>
      <c r="G30" s="133"/>
      <c r="H30" s="135"/>
      <c r="I30" s="135"/>
      <c r="J30" s="135"/>
      <c r="K30" s="135"/>
      <c r="L30" s="137"/>
      <c r="M30" s="135"/>
      <c r="N30" s="136"/>
      <c r="O30" s="137"/>
      <c r="P30" s="135"/>
      <c r="Q30" s="137"/>
      <c r="R30" s="135"/>
      <c r="S30" s="137"/>
      <c r="T30" s="135"/>
      <c r="U30" s="137"/>
      <c r="V30" s="135"/>
      <c r="W30" s="136"/>
      <c r="X30" s="136"/>
      <c r="Y30" s="135"/>
      <c r="Z30" s="135"/>
    </row>
    <row r="31" spans="1:26" x14ac:dyDescent="0.25">
      <c r="B31" s="129"/>
      <c r="C31" s="130"/>
      <c r="D31" s="131"/>
      <c r="E31" s="132"/>
      <c r="F31" s="133"/>
      <c r="G31" s="133"/>
      <c r="H31" s="135"/>
      <c r="I31" s="135"/>
      <c r="J31" s="135"/>
      <c r="K31" s="135"/>
      <c r="L31" s="137"/>
      <c r="M31" s="135"/>
      <c r="N31" s="136"/>
      <c r="O31" s="137"/>
      <c r="P31" s="135"/>
      <c r="Q31" s="137"/>
      <c r="R31" s="135"/>
      <c r="S31" s="137"/>
      <c r="T31" s="135"/>
      <c r="U31" s="137"/>
      <c r="V31" s="135"/>
      <c r="W31" s="136"/>
      <c r="X31" s="136"/>
      <c r="Y31" s="135"/>
      <c r="Z31" s="135"/>
    </row>
    <row r="32" spans="1:26" x14ac:dyDescent="0.25">
      <c r="B32" s="129"/>
      <c r="C32" s="130"/>
      <c r="D32" s="131"/>
      <c r="E32" s="132"/>
      <c r="F32" s="133"/>
      <c r="G32" s="133"/>
      <c r="H32" s="135"/>
      <c r="I32" s="135"/>
      <c r="J32" s="135"/>
      <c r="K32" s="135"/>
      <c r="L32" s="137"/>
      <c r="M32" s="135"/>
      <c r="N32" s="136"/>
      <c r="O32" s="137"/>
      <c r="P32" s="135"/>
      <c r="Q32" s="137"/>
      <c r="R32" s="135"/>
      <c r="S32" s="137"/>
      <c r="T32" s="135"/>
      <c r="U32" s="137"/>
      <c r="V32" s="135"/>
      <c r="W32" s="136"/>
      <c r="X32" s="136"/>
      <c r="Y32" s="135"/>
      <c r="Z32" s="135"/>
    </row>
    <row r="33" spans="2:26" x14ac:dyDescent="0.25">
      <c r="B33" s="129"/>
      <c r="C33" s="130"/>
      <c r="D33" s="131"/>
      <c r="E33" s="132"/>
      <c r="F33" s="133"/>
      <c r="G33" s="133"/>
      <c r="H33" s="135"/>
      <c r="I33" s="135"/>
      <c r="J33" s="135"/>
      <c r="K33" s="135"/>
      <c r="L33" s="137"/>
      <c r="M33" s="135"/>
      <c r="N33" s="136"/>
      <c r="O33" s="137"/>
      <c r="P33" s="135"/>
      <c r="Q33" s="137"/>
      <c r="R33" s="135"/>
      <c r="S33" s="137"/>
      <c r="T33" s="135"/>
      <c r="U33" s="137"/>
      <c r="V33" s="135"/>
      <c r="W33" s="136"/>
      <c r="X33" s="136"/>
      <c r="Y33" s="135"/>
      <c r="Z33" s="135"/>
    </row>
    <row r="34" spans="2:26" x14ac:dyDescent="0.25">
      <c r="B34" s="129"/>
      <c r="C34" s="130"/>
      <c r="D34" s="131"/>
      <c r="E34" s="132"/>
      <c r="F34" s="133"/>
      <c r="G34" s="133"/>
      <c r="H34" s="135"/>
      <c r="I34" s="135"/>
      <c r="J34" s="135"/>
      <c r="K34" s="135"/>
      <c r="L34" s="137"/>
      <c r="M34" s="135"/>
      <c r="N34" s="136"/>
      <c r="O34" s="137"/>
      <c r="P34" s="135"/>
      <c r="Q34" s="137"/>
      <c r="R34" s="135"/>
      <c r="S34" s="137"/>
      <c r="T34" s="135"/>
      <c r="U34" s="137"/>
      <c r="V34" s="135"/>
      <c r="W34" s="136"/>
      <c r="X34" s="136"/>
      <c r="Y34" s="135"/>
      <c r="Z34" s="135"/>
    </row>
    <row r="35" spans="2:26" x14ac:dyDescent="0.25">
      <c r="B35" s="129"/>
      <c r="C35" s="130"/>
      <c r="D35" s="131"/>
      <c r="E35" s="132"/>
      <c r="F35" s="133"/>
      <c r="G35" s="133"/>
      <c r="H35" s="135"/>
      <c r="I35" s="135"/>
      <c r="J35" s="135"/>
      <c r="K35" s="135"/>
      <c r="L35" s="135"/>
      <c r="M35" s="135"/>
      <c r="N35" s="136"/>
      <c r="O35" s="135"/>
      <c r="P35" s="135"/>
      <c r="Q35" s="135"/>
      <c r="R35" s="135"/>
      <c r="S35" s="135"/>
      <c r="T35" s="135"/>
      <c r="U35" s="135"/>
      <c r="V35" s="135"/>
      <c r="W35" s="136"/>
      <c r="X35" s="136"/>
      <c r="Y35" s="135"/>
      <c r="Z35" s="135"/>
    </row>
    <row r="36" spans="2:26" x14ac:dyDescent="0.25">
      <c r="B36" s="129"/>
      <c r="C36" s="130"/>
      <c r="D36" s="131"/>
      <c r="E36" s="132"/>
      <c r="F36" s="133"/>
      <c r="G36" s="134"/>
      <c r="H36" s="135"/>
      <c r="I36" s="135"/>
      <c r="J36" s="135"/>
      <c r="K36" s="135"/>
      <c r="L36" s="135"/>
      <c r="M36" s="135"/>
      <c r="N36" s="136"/>
      <c r="O36" s="135"/>
      <c r="P36" s="135"/>
      <c r="Q36" s="135"/>
      <c r="R36" s="135"/>
      <c r="S36" s="135"/>
      <c r="T36" s="135"/>
      <c r="U36" s="135"/>
      <c r="V36" s="135"/>
      <c r="W36" s="136"/>
      <c r="X36" s="136"/>
      <c r="Y36" s="135"/>
      <c r="Z36" s="135"/>
    </row>
    <row r="37" spans="2:26" x14ac:dyDescent="0.25">
      <c r="B37" s="129"/>
      <c r="C37" s="130"/>
      <c r="D37" s="131"/>
      <c r="E37" s="132"/>
      <c r="F37" s="133"/>
      <c r="G37" s="122"/>
      <c r="H37" s="135"/>
      <c r="I37" s="135"/>
      <c r="J37" s="135"/>
      <c r="K37" s="135"/>
      <c r="L37" s="135"/>
      <c r="M37" s="135"/>
      <c r="N37" s="136"/>
      <c r="O37" s="135"/>
      <c r="P37" s="135"/>
      <c r="Q37" s="135"/>
      <c r="R37" s="135"/>
      <c r="S37" s="135"/>
      <c r="T37" s="135"/>
      <c r="U37" s="135"/>
      <c r="V37" s="135"/>
      <c r="W37" s="136"/>
      <c r="X37" s="136"/>
      <c r="Y37" s="135"/>
      <c r="Z37" s="135"/>
    </row>
    <row r="38" spans="2:26" x14ac:dyDescent="0.25">
      <c r="B38" s="129"/>
      <c r="C38" s="130"/>
      <c r="D38" s="131"/>
      <c r="E38" s="132"/>
      <c r="F38" s="133"/>
      <c r="G38" s="133"/>
      <c r="H38" s="135"/>
      <c r="I38" s="135"/>
      <c r="J38" s="135"/>
      <c r="K38" s="135"/>
      <c r="L38" s="137"/>
      <c r="M38" s="135"/>
      <c r="N38" s="136"/>
      <c r="O38" s="137"/>
      <c r="P38" s="135"/>
      <c r="Q38" s="137"/>
      <c r="R38" s="135"/>
      <c r="S38" s="137"/>
      <c r="T38" s="135"/>
      <c r="U38" s="137"/>
      <c r="V38" s="135"/>
      <c r="W38" s="136"/>
      <c r="X38" s="136"/>
      <c r="Y38" s="135"/>
      <c r="Z38" s="135"/>
    </row>
    <row r="39" spans="2:26" x14ac:dyDescent="0.25">
      <c r="B39" s="129"/>
      <c r="C39" s="130"/>
      <c r="D39" s="131"/>
      <c r="E39" s="132"/>
      <c r="F39" s="133"/>
      <c r="G39" s="133"/>
      <c r="H39" s="135"/>
      <c r="I39" s="135"/>
      <c r="J39" s="135"/>
      <c r="K39" s="135"/>
      <c r="L39" s="137"/>
      <c r="M39" s="135"/>
      <c r="N39" s="136"/>
      <c r="O39" s="137"/>
      <c r="P39" s="135"/>
      <c r="Q39" s="137"/>
      <c r="R39" s="135"/>
      <c r="S39" s="137"/>
      <c r="T39" s="135"/>
      <c r="U39" s="137"/>
      <c r="V39" s="135"/>
      <c r="W39" s="136"/>
      <c r="X39" s="136"/>
      <c r="Y39" s="135"/>
      <c r="Z39" s="135"/>
    </row>
    <row r="40" spans="2:26" x14ac:dyDescent="0.25">
      <c r="B40" s="129"/>
      <c r="C40" s="130"/>
      <c r="D40" s="131"/>
      <c r="E40" s="132"/>
      <c r="F40" s="133"/>
      <c r="G40" s="133"/>
      <c r="H40" s="135"/>
      <c r="I40" s="135"/>
      <c r="J40" s="135"/>
      <c r="K40" s="135"/>
      <c r="L40" s="135"/>
      <c r="M40" s="135"/>
      <c r="N40" s="136"/>
      <c r="O40" s="135"/>
      <c r="P40" s="135"/>
      <c r="Q40" s="135"/>
      <c r="R40" s="135"/>
      <c r="S40" s="135"/>
      <c r="T40" s="135"/>
      <c r="U40" s="135"/>
      <c r="V40" s="135"/>
      <c r="W40" s="136"/>
      <c r="X40" s="136"/>
      <c r="Y40" s="135"/>
      <c r="Z40" s="135"/>
    </row>
    <row r="41" spans="2:26" x14ac:dyDescent="0.25">
      <c r="B41" s="129"/>
      <c r="C41" s="130"/>
      <c r="D41" s="131"/>
      <c r="E41" s="132"/>
      <c r="F41" s="133"/>
      <c r="G41" s="134"/>
      <c r="H41" s="135"/>
      <c r="I41" s="135"/>
      <c r="J41" s="135"/>
      <c r="K41" s="135"/>
      <c r="L41" s="135"/>
      <c r="M41" s="135"/>
      <c r="N41" s="136"/>
      <c r="O41" s="135"/>
      <c r="P41" s="135"/>
      <c r="Q41" s="135"/>
      <c r="R41" s="135"/>
      <c r="S41" s="135"/>
      <c r="T41" s="135"/>
      <c r="U41" s="135"/>
      <c r="V41" s="135"/>
      <c r="W41" s="136"/>
      <c r="X41" s="136"/>
      <c r="Y41" s="135"/>
      <c r="Z41" s="135"/>
    </row>
    <row r="42" spans="2:26" x14ac:dyDescent="0.25">
      <c r="B42" s="129"/>
      <c r="C42" s="130"/>
      <c r="D42" s="131"/>
      <c r="E42" s="132"/>
      <c r="F42" s="133"/>
      <c r="G42" s="122"/>
      <c r="H42" s="135"/>
      <c r="I42" s="135"/>
      <c r="J42" s="135"/>
      <c r="K42" s="135"/>
      <c r="L42" s="135"/>
      <c r="M42" s="135"/>
      <c r="N42" s="136"/>
      <c r="O42" s="135"/>
      <c r="P42" s="135"/>
      <c r="Q42" s="135"/>
      <c r="R42" s="135"/>
      <c r="S42" s="135"/>
      <c r="T42" s="135"/>
      <c r="U42" s="135"/>
      <c r="V42" s="135"/>
      <c r="W42" s="136"/>
      <c r="X42" s="136"/>
      <c r="Y42" s="135"/>
      <c r="Z42" s="135"/>
    </row>
    <row r="43" spans="2:26" x14ac:dyDescent="0.25">
      <c r="B43" s="129"/>
      <c r="C43" s="130"/>
      <c r="D43" s="131"/>
      <c r="E43" s="132"/>
      <c r="F43" s="133"/>
      <c r="G43" s="133"/>
      <c r="H43" s="135"/>
      <c r="I43" s="135"/>
      <c r="J43" s="135"/>
      <c r="K43" s="135"/>
      <c r="L43" s="137"/>
      <c r="M43" s="135"/>
      <c r="N43" s="136"/>
      <c r="O43" s="137"/>
      <c r="P43" s="135"/>
      <c r="Q43" s="137"/>
      <c r="R43" s="135"/>
      <c r="S43" s="137"/>
      <c r="T43" s="135"/>
      <c r="U43" s="137"/>
      <c r="V43" s="135"/>
      <c r="W43" s="136"/>
      <c r="X43" s="136"/>
      <c r="Y43" s="135"/>
      <c r="Z43" s="135"/>
    </row>
    <row r="44" spans="2:26" x14ac:dyDescent="0.25">
      <c r="B44" s="129"/>
      <c r="C44" s="130"/>
      <c r="D44" s="131"/>
      <c r="E44" s="132"/>
      <c r="F44" s="133"/>
      <c r="G44" s="133"/>
      <c r="H44" s="135"/>
      <c r="I44" s="135"/>
      <c r="J44" s="135"/>
      <c r="K44" s="135"/>
      <c r="L44" s="137"/>
      <c r="M44" s="135"/>
      <c r="N44" s="136"/>
      <c r="O44" s="137"/>
      <c r="P44" s="135"/>
      <c r="Q44" s="137"/>
      <c r="R44" s="135"/>
      <c r="S44" s="137"/>
      <c r="T44" s="135"/>
      <c r="U44" s="137"/>
      <c r="V44" s="135"/>
      <c r="W44" s="136"/>
      <c r="X44" s="136"/>
      <c r="Y44" s="135"/>
      <c r="Z44" s="135"/>
    </row>
    <row r="45" spans="2:26" x14ac:dyDescent="0.25">
      <c r="B45" s="129"/>
      <c r="C45" s="130"/>
      <c r="D45" s="131"/>
      <c r="E45" s="132"/>
      <c r="F45" s="133"/>
      <c r="G45" s="133"/>
      <c r="H45" s="135"/>
      <c r="I45" s="135"/>
      <c r="J45" s="135"/>
      <c r="K45" s="135"/>
      <c r="L45" s="137"/>
      <c r="M45" s="135"/>
      <c r="N45" s="136"/>
      <c r="O45" s="137"/>
      <c r="P45" s="135"/>
      <c r="Q45" s="137"/>
      <c r="R45" s="135"/>
      <c r="S45" s="137"/>
      <c r="T45" s="135"/>
      <c r="U45" s="137"/>
      <c r="V45" s="135"/>
      <c r="W45" s="136"/>
      <c r="X45" s="136"/>
      <c r="Y45" s="135"/>
      <c r="Z45" s="135"/>
    </row>
    <row r="46" spans="2:26" x14ac:dyDescent="0.25">
      <c r="B46" s="129"/>
      <c r="C46" s="130"/>
      <c r="D46" s="131"/>
      <c r="E46" s="132"/>
      <c r="F46" s="133"/>
      <c r="G46" s="133"/>
      <c r="H46" s="135"/>
      <c r="I46" s="135"/>
      <c r="J46" s="135"/>
      <c r="K46" s="135"/>
      <c r="L46" s="137"/>
      <c r="M46" s="135"/>
      <c r="N46" s="136"/>
      <c r="O46" s="137"/>
      <c r="P46" s="135"/>
      <c r="Q46" s="137"/>
      <c r="R46" s="135"/>
      <c r="S46" s="137"/>
      <c r="T46" s="135"/>
      <c r="U46" s="137"/>
      <c r="V46" s="135"/>
      <c r="W46" s="136"/>
      <c r="X46" s="136"/>
      <c r="Y46" s="135"/>
      <c r="Z46" s="135"/>
    </row>
    <row r="47" spans="2:26" x14ac:dyDescent="0.25">
      <c r="B47" s="129"/>
      <c r="C47" s="130"/>
      <c r="D47" s="131"/>
      <c r="E47" s="132"/>
      <c r="F47" s="133"/>
      <c r="G47" s="133"/>
      <c r="H47" s="135"/>
      <c r="I47" s="135"/>
      <c r="J47" s="135"/>
      <c r="K47" s="135"/>
      <c r="L47" s="137"/>
      <c r="M47" s="135"/>
      <c r="N47" s="136"/>
      <c r="O47" s="137"/>
      <c r="P47" s="135"/>
      <c r="Q47" s="137"/>
      <c r="R47" s="135"/>
      <c r="S47" s="137"/>
      <c r="T47" s="135"/>
      <c r="U47" s="137"/>
      <c r="V47" s="135"/>
      <c r="W47" s="136"/>
      <c r="X47" s="136"/>
      <c r="Y47" s="135"/>
      <c r="Z47" s="135"/>
    </row>
    <row r="48" spans="2:26" x14ac:dyDescent="0.25">
      <c r="B48" s="129"/>
      <c r="C48" s="130"/>
      <c r="D48" s="131"/>
      <c r="E48" s="132"/>
      <c r="F48" s="133"/>
      <c r="G48" s="133"/>
      <c r="H48" s="135"/>
      <c r="I48" s="135"/>
      <c r="J48" s="135"/>
      <c r="K48" s="135"/>
      <c r="L48" s="135"/>
      <c r="M48" s="135"/>
      <c r="N48" s="136"/>
      <c r="O48" s="135"/>
      <c r="P48" s="135"/>
      <c r="Q48" s="135"/>
      <c r="R48" s="135"/>
      <c r="S48" s="135"/>
      <c r="T48" s="135"/>
      <c r="U48" s="135"/>
      <c r="V48" s="135"/>
      <c r="W48" s="136"/>
      <c r="X48" s="136"/>
      <c r="Y48" s="135"/>
      <c r="Z48" s="135"/>
    </row>
    <row r="49" spans="2:26" x14ac:dyDescent="0.25">
      <c r="B49" s="129"/>
      <c r="C49" s="130"/>
      <c r="D49" s="131"/>
      <c r="E49" s="132"/>
      <c r="F49" s="133"/>
      <c r="G49" s="134"/>
      <c r="H49" s="135"/>
      <c r="I49" s="135"/>
      <c r="J49" s="135"/>
      <c r="K49" s="135"/>
      <c r="L49" s="135"/>
      <c r="M49" s="135"/>
      <c r="N49" s="136"/>
      <c r="O49" s="135"/>
      <c r="P49" s="135"/>
      <c r="Q49" s="135"/>
      <c r="R49" s="135"/>
      <c r="S49" s="135"/>
      <c r="T49" s="135"/>
      <c r="U49" s="135"/>
      <c r="V49" s="135"/>
      <c r="W49" s="136"/>
      <c r="X49" s="136"/>
      <c r="Y49" s="135"/>
      <c r="Z49" s="135"/>
    </row>
    <row r="50" spans="2:26" x14ac:dyDescent="0.25">
      <c r="B50" s="129"/>
      <c r="C50" s="130"/>
      <c r="D50" s="131"/>
      <c r="E50" s="132"/>
      <c r="F50" s="133"/>
      <c r="G50" s="122"/>
      <c r="H50" s="135"/>
      <c r="I50" s="135"/>
      <c r="J50" s="135"/>
      <c r="K50" s="135"/>
      <c r="L50" s="135"/>
      <c r="M50" s="135"/>
      <c r="N50" s="136"/>
      <c r="O50" s="135"/>
      <c r="P50" s="135"/>
      <c r="Q50" s="135"/>
      <c r="R50" s="135"/>
      <c r="S50" s="135"/>
      <c r="T50" s="135"/>
      <c r="U50" s="135"/>
      <c r="V50" s="135"/>
      <c r="W50" s="136"/>
      <c r="X50" s="136"/>
      <c r="Y50" s="135"/>
      <c r="Z50" s="135"/>
    </row>
    <row r="51" spans="2:26" x14ac:dyDescent="0.25">
      <c r="B51" s="129"/>
      <c r="C51" s="130"/>
      <c r="D51" s="131"/>
      <c r="E51" s="132"/>
      <c r="F51" s="133"/>
      <c r="G51" s="133"/>
      <c r="H51" s="135"/>
      <c r="I51" s="135"/>
      <c r="J51" s="135"/>
      <c r="K51" s="135"/>
      <c r="L51" s="137"/>
      <c r="M51" s="135"/>
      <c r="N51" s="136"/>
      <c r="O51" s="137"/>
      <c r="P51" s="135"/>
      <c r="Q51" s="137"/>
      <c r="R51" s="135"/>
      <c r="S51" s="137"/>
      <c r="T51" s="135"/>
      <c r="U51" s="137"/>
      <c r="V51" s="135"/>
      <c r="W51" s="136"/>
      <c r="X51" s="136"/>
      <c r="Y51" s="135"/>
      <c r="Z51" s="135"/>
    </row>
    <row r="52" spans="2:26" x14ac:dyDescent="0.25">
      <c r="B52" s="129"/>
      <c r="C52" s="130"/>
      <c r="D52" s="131"/>
      <c r="E52" s="132"/>
      <c r="F52" s="133"/>
      <c r="G52" s="122"/>
      <c r="H52" s="135"/>
      <c r="I52" s="135"/>
      <c r="J52" s="135"/>
      <c r="K52" s="135"/>
      <c r="L52" s="137"/>
      <c r="M52" s="135"/>
      <c r="N52" s="136"/>
      <c r="O52" s="137"/>
      <c r="P52" s="135"/>
      <c r="Q52" s="137"/>
      <c r="R52" s="135"/>
      <c r="S52" s="137"/>
      <c r="T52" s="135"/>
      <c r="U52" s="137"/>
      <c r="V52" s="135"/>
      <c r="W52" s="136"/>
      <c r="X52" s="136"/>
      <c r="Y52" s="135"/>
      <c r="Z52" s="135"/>
    </row>
    <row r="53" spans="2:26" x14ac:dyDescent="0.25">
      <c r="B53" s="129"/>
      <c r="C53" s="130"/>
      <c r="D53" s="131"/>
      <c r="E53" s="132"/>
      <c r="F53" s="133"/>
      <c r="G53" s="133"/>
      <c r="H53" s="135"/>
      <c r="I53" s="135"/>
      <c r="J53" s="135"/>
      <c r="K53" s="135"/>
      <c r="L53" s="137"/>
      <c r="M53" s="135"/>
      <c r="N53" s="136"/>
      <c r="O53" s="137"/>
      <c r="P53" s="135"/>
      <c r="Q53" s="137"/>
      <c r="R53" s="135"/>
      <c r="S53" s="137"/>
      <c r="T53" s="135"/>
      <c r="U53" s="137"/>
      <c r="V53" s="135"/>
      <c r="W53" s="136"/>
      <c r="X53" s="136"/>
      <c r="Y53" s="135"/>
      <c r="Z53" s="135"/>
    </row>
    <row r="54" spans="2:26" x14ac:dyDescent="0.25">
      <c r="B54" s="129"/>
      <c r="C54" s="130"/>
      <c r="D54" s="131"/>
      <c r="E54" s="132"/>
      <c r="F54" s="133"/>
      <c r="G54" s="122"/>
      <c r="H54" s="135"/>
      <c r="I54" s="135"/>
      <c r="J54" s="135"/>
      <c r="K54" s="135"/>
      <c r="L54" s="137"/>
      <c r="M54" s="135"/>
      <c r="N54" s="136"/>
      <c r="O54" s="137"/>
      <c r="P54" s="135"/>
      <c r="Q54" s="137"/>
      <c r="R54" s="135"/>
      <c r="S54" s="137"/>
      <c r="T54" s="135"/>
      <c r="U54" s="137"/>
      <c r="V54" s="135"/>
      <c r="W54" s="136"/>
      <c r="X54" s="136"/>
      <c r="Y54" s="135"/>
      <c r="Z54" s="135"/>
    </row>
    <row r="55" spans="2:26" x14ac:dyDescent="0.25">
      <c r="B55" s="129"/>
      <c r="C55" s="130"/>
      <c r="D55" s="131"/>
      <c r="E55" s="132"/>
      <c r="F55" s="133"/>
      <c r="G55" s="133"/>
      <c r="H55" s="135"/>
      <c r="I55" s="135"/>
      <c r="J55" s="135"/>
      <c r="K55" s="135"/>
      <c r="L55" s="137"/>
      <c r="M55" s="135"/>
      <c r="N55" s="136"/>
      <c r="O55" s="137"/>
      <c r="P55" s="135"/>
      <c r="Q55" s="137"/>
      <c r="R55" s="135"/>
      <c r="S55" s="137"/>
      <c r="T55" s="135"/>
      <c r="U55" s="137"/>
      <c r="V55" s="135"/>
      <c r="W55" s="136"/>
      <c r="X55" s="136"/>
      <c r="Y55" s="135"/>
      <c r="Z55" s="135"/>
    </row>
    <row r="56" spans="2:26" x14ac:dyDescent="0.25">
      <c r="B56" s="129"/>
      <c r="C56" s="130"/>
      <c r="D56" s="131"/>
      <c r="E56" s="132"/>
      <c r="F56" s="133"/>
      <c r="G56" s="133"/>
      <c r="H56" s="135"/>
      <c r="I56" s="135"/>
      <c r="J56" s="135"/>
      <c r="K56" s="135"/>
      <c r="L56" s="137"/>
      <c r="M56" s="135"/>
      <c r="N56" s="136"/>
      <c r="O56" s="137"/>
      <c r="P56" s="135"/>
      <c r="Q56" s="137"/>
      <c r="R56" s="135"/>
      <c r="S56" s="137"/>
      <c r="T56" s="135"/>
      <c r="U56" s="137"/>
      <c r="V56" s="135"/>
      <c r="W56" s="136"/>
      <c r="X56" s="136"/>
      <c r="Y56" s="135"/>
      <c r="Z56" s="135"/>
    </row>
    <row r="57" spans="2:26" x14ac:dyDescent="0.25">
      <c r="B57" s="129"/>
      <c r="C57" s="130"/>
      <c r="D57" s="131"/>
      <c r="E57" s="132"/>
      <c r="F57" s="133"/>
      <c r="G57" s="133"/>
      <c r="H57" s="135"/>
      <c r="I57" s="135"/>
      <c r="J57" s="135"/>
      <c r="K57" s="135"/>
      <c r="L57" s="137"/>
      <c r="M57" s="135"/>
      <c r="N57" s="136"/>
      <c r="O57" s="137"/>
      <c r="P57" s="135"/>
      <c r="Q57" s="137"/>
      <c r="R57" s="135"/>
      <c r="S57" s="137"/>
      <c r="T57" s="135"/>
      <c r="U57" s="137"/>
      <c r="V57" s="135"/>
      <c r="W57" s="136"/>
      <c r="X57" s="136"/>
      <c r="Y57" s="135"/>
      <c r="Z57" s="135"/>
    </row>
    <row r="58" spans="2:26" x14ac:dyDescent="0.25">
      <c r="B58" s="129"/>
      <c r="C58" s="130"/>
      <c r="D58" s="131"/>
      <c r="E58" s="132"/>
      <c r="F58" s="133"/>
      <c r="G58" s="133"/>
      <c r="H58" s="135"/>
      <c r="I58" s="135"/>
      <c r="J58" s="135"/>
      <c r="K58" s="135"/>
      <c r="L58" s="137"/>
      <c r="M58" s="135"/>
      <c r="N58" s="136"/>
      <c r="O58" s="137"/>
      <c r="P58" s="135"/>
      <c r="Q58" s="137"/>
      <c r="R58" s="135"/>
      <c r="S58" s="137"/>
      <c r="T58" s="135"/>
      <c r="U58" s="137"/>
      <c r="V58" s="135"/>
      <c r="W58" s="136"/>
      <c r="X58" s="136"/>
      <c r="Y58" s="135"/>
      <c r="Z58" s="135"/>
    </row>
    <row r="59" spans="2:26" x14ac:dyDescent="0.25">
      <c r="B59" s="129"/>
      <c r="C59" s="130"/>
      <c r="D59" s="131"/>
      <c r="E59" s="132"/>
      <c r="F59" s="133"/>
      <c r="G59" s="133"/>
      <c r="H59" s="135"/>
      <c r="I59" s="135"/>
      <c r="J59" s="135"/>
      <c r="K59" s="135"/>
      <c r="L59" s="137"/>
      <c r="M59" s="135"/>
      <c r="N59" s="136"/>
      <c r="O59" s="137"/>
      <c r="P59" s="135"/>
      <c r="Q59" s="137"/>
      <c r="R59" s="135"/>
      <c r="S59" s="137"/>
      <c r="T59" s="135"/>
      <c r="U59" s="137"/>
      <c r="V59" s="135"/>
      <c r="W59" s="136"/>
      <c r="X59" s="136"/>
      <c r="Y59" s="135"/>
      <c r="Z59" s="136"/>
    </row>
    <row r="60" spans="2:26" x14ac:dyDescent="0.25">
      <c r="B60" s="129"/>
      <c r="C60" s="130"/>
      <c r="D60" s="131"/>
      <c r="E60" s="132"/>
      <c r="F60" s="133"/>
      <c r="G60" s="122"/>
      <c r="H60" s="135"/>
      <c r="I60" s="135"/>
      <c r="J60" s="135"/>
      <c r="K60" s="135"/>
      <c r="L60" s="137"/>
      <c r="M60" s="135"/>
      <c r="N60" s="136"/>
      <c r="O60" s="137"/>
      <c r="P60" s="135"/>
      <c r="Q60" s="137"/>
      <c r="R60" s="135"/>
      <c r="S60" s="137"/>
      <c r="T60" s="135"/>
      <c r="U60" s="137"/>
      <c r="V60" s="135"/>
      <c r="W60" s="136"/>
      <c r="X60" s="136"/>
      <c r="Y60" s="135"/>
      <c r="Z60" s="135"/>
    </row>
    <row r="61" spans="2:26" x14ac:dyDescent="0.25">
      <c r="B61" s="129"/>
      <c r="C61" s="130"/>
      <c r="D61" s="131"/>
      <c r="E61" s="132"/>
      <c r="F61" s="133"/>
      <c r="G61" s="133"/>
      <c r="H61" s="135"/>
      <c r="I61" s="135"/>
      <c r="J61" s="135"/>
      <c r="K61" s="135"/>
      <c r="L61" s="137"/>
      <c r="M61" s="135"/>
      <c r="N61" s="136"/>
      <c r="O61" s="137"/>
      <c r="P61" s="135"/>
      <c r="Q61" s="137"/>
      <c r="R61" s="135"/>
      <c r="S61" s="137"/>
      <c r="T61" s="135"/>
      <c r="U61" s="137"/>
      <c r="V61" s="135"/>
      <c r="W61" s="136"/>
      <c r="X61" s="136"/>
      <c r="Y61" s="135"/>
      <c r="Z61" s="135"/>
    </row>
    <row r="62" spans="2:26" x14ac:dyDescent="0.25">
      <c r="B62" s="129"/>
      <c r="C62" s="130"/>
      <c r="D62" s="131"/>
      <c r="E62" s="132"/>
      <c r="F62" s="133"/>
      <c r="G62" s="133"/>
      <c r="H62" s="135"/>
      <c r="I62" s="135"/>
      <c r="J62" s="135"/>
      <c r="K62" s="135"/>
      <c r="L62" s="137"/>
      <c r="M62" s="135"/>
      <c r="N62" s="136"/>
      <c r="O62" s="137"/>
      <c r="P62" s="135"/>
      <c r="Q62" s="137"/>
      <c r="R62" s="135"/>
      <c r="S62" s="137"/>
      <c r="T62" s="135"/>
      <c r="U62" s="137"/>
      <c r="V62" s="135"/>
      <c r="W62" s="136"/>
      <c r="X62" s="136"/>
      <c r="Y62" s="135"/>
      <c r="Z62" s="135"/>
    </row>
    <row r="63" spans="2:26" x14ac:dyDescent="0.25">
      <c r="B63" s="129"/>
      <c r="C63" s="130"/>
      <c r="D63" s="131"/>
      <c r="E63" s="132"/>
      <c r="F63" s="133"/>
      <c r="G63" s="133"/>
      <c r="H63" s="135"/>
      <c r="I63" s="135"/>
      <c r="J63" s="135"/>
      <c r="K63" s="135"/>
      <c r="L63" s="135"/>
      <c r="M63" s="135"/>
      <c r="N63" s="136"/>
      <c r="O63" s="135"/>
      <c r="P63" s="135"/>
      <c r="Q63" s="135"/>
      <c r="R63" s="135"/>
      <c r="S63" s="135"/>
      <c r="T63" s="135"/>
      <c r="U63" s="135"/>
      <c r="V63" s="135"/>
      <c r="W63" s="136"/>
      <c r="X63" s="136"/>
      <c r="Y63" s="135"/>
      <c r="Z63" s="135"/>
    </row>
    <row r="64" spans="2:26" x14ac:dyDescent="0.25">
      <c r="B64" s="129"/>
      <c r="C64" s="130"/>
      <c r="D64" s="131"/>
      <c r="E64" s="132"/>
      <c r="F64" s="133"/>
      <c r="G64" s="134"/>
      <c r="H64" s="135"/>
      <c r="I64" s="135"/>
      <c r="J64" s="135"/>
      <c r="K64" s="135"/>
      <c r="L64" s="135"/>
      <c r="M64" s="135"/>
      <c r="N64" s="136"/>
      <c r="O64" s="135"/>
      <c r="P64" s="135"/>
      <c r="Q64" s="135"/>
      <c r="R64" s="135"/>
      <c r="S64" s="135"/>
      <c r="T64" s="135"/>
      <c r="U64" s="135"/>
      <c r="V64" s="135"/>
      <c r="W64" s="136"/>
      <c r="X64" s="136"/>
      <c r="Y64" s="135"/>
      <c r="Z64" s="135"/>
    </row>
    <row r="65" spans="2:26" x14ac:dyDescent="0.25">
      <c r="B65" s="129"/>
      <c r="C65" s="130"/>
      <c r="D65" s="131"/>
      <c r="E65" s="132"/>
      <c r="F65" s="133"/>
      <c r="G65" s="122"/>
      <c r="H65" s="135"/>
      <c r="I65" s="135"/>
      <c r="J65" s="135"/>
      <c r="K65" s="135"/>
      <c r="L65" s="135"/>
      <c r="M65" s="135"/>
      <c r="N65" s="136"/>
      <c r="O65" s="135"/>
      <c r="P65" s="135"/>
      <c r="Q65" s="135"/>
      <c r="R65" s="135"/>
      <c r="S65" s="135"/>
      <c r="T65" s="135"/>
      <c r="U65" s="135"/>
      <c r="V65" s="135"/>
      <c r="W65" s="136"/>
      <c r="X65" s="136"/>
      <c r="Y65" s="135"/>
      <c r="Z65" s="135"/>
    </row>
    <row r="66" spans="2:26" x14ac:dyDescent="0.25">
      <c r="B66" s="129"/>
      <c r="C66" s="130"/>
      <c r="D66" s="131"/>
      <c r="E66" s="132"/>
      <c r="F66" s="133"/>
      <c r="G66" s="133"/>
      <c r="H66" s="135"/>
      <c r="I66" s="135"/>
      <c r="J66" s="135"/>
      <c r="K66" s="135"/>
      <c r="L66" s="137"/>
      <c r="M66" s="135"/>
      <c r="N66" s="136"/>
      <c r="O66" s="137"/>
      <c r="P66" s="135"/>
      <c r="Q66" s="137"/>
      <c r="R66" s="135"/>
      <c r="S66" s="137"/>
      <c r="T66" s="135"/>
      <c r="U66" s="137"/>
      <c r="V66" s="135"/>
      <c r="W66" s="136"/>
      <c r="X66" s="136"/>
      <c r="Y66" s="135"/>
      <c r="Z66" s="135"/>
    </row>
    <row r="67" spans="2:26" x14ac:dyDescent="0.25">
      <c r="B67" s="129"/>
      <c r="C67" s="130"/>
      <c r="D67" s="131"/>
      <c r="E67" s="132"/>
      <c r="F67" s="133"/>
      <c r="G67" s="133"/>
      <c r="H67" s="135"/>
      <c r="I67" s="135"/>
      <c r="J67" s="135"/>
      <c r="K67" s="135"/>
      <c r="L67" s="137"/>
      <c r="M67" s="135"/>
      <c r="N67" s="136"/>
      <c r="O67" s="137"/>
      <c r="P67" s="135"/>
      <c r="Q67" s="137"/>
      <c r="R67" s="135"/>
      <c r="S67" s="137"/>
      <c r="T67" s="135"/>
      <c r="U67" s="137"/>
      <c r="V67" s="135"/>
      <c r="W67" s="136"/>
      <c r="X67" s="136"/>
      <c r="Y67" s="135"/>
      <c r="Z67" s="135"/>
    </row>
    <row r="68" spans="2:26" x14ac:dyDescent="0.25">
      <c r="B68" s="129"/>
      <c r="C68" s="130"/>
      <c r="D68" s="131"/>
      <c r="E68" s="132"/>
      <c r="F68" s="133"/>
      <c r="G68" s="133"/>
      <c r="H68" s="135"/>
      <c r="I68" s="135"/>
      <c r="J68" s="135"/>
      <c r="K68" s="135"/>
      <c r="L68" s="137"/>
      <c r="M68" s="135"/>
      <c r="N68" s="136"/>
      <c r="O68" s="137"/>
      <c r="P68" s="135"/>
      <c r="Q68" s="137"/>
      <c r="R68" s="135"/>
      <c r="S68" s="137"/>
      <c r="T68" s="135"/>
      <c r="U68" s="137"/>
      <c r="V68" s="135"/>
      <c r="W68" s="136"/>
      <c r="X68" s="136"/>
      <c r="Y68" s="135"/>
      <c r="Z68" s="135"/>
    </row>
    <row r="69" spans="2:26" x14ac:dyDescent="0.25">
      <c r="B69" s="129"/>
      <c r="C69" s="130"/>
      <c r="D69" s="131"/>
      <c r="E69" s="132"/>
      <c r="F69" s="133"/>
      <c r="G69" s="133"/>
      <c r="H69" s="135"/>
      <c r="I69" s="135"/>
      <c r="J69" s="135"/>
      <c r="K69" s="135"/>
      <c r="L69" s="137"/>
      <c r="M69" s="135"/>
      <c r="N69" s="136"/>
      <c r="O69" s="137"/>
      <c r="P69" s="135"/>
      <c r="Q69" s="137"/>
      <c r="R69" s="135"/>
      <c r="S69" s="137"/>
      <c r="T69" s="135"/>
      <c r="U69" s="137"/>
      <c r="V69" s="135"/>
      <c r="W69" s="136"/>
      <c r="X69" s="136"/>
      <c r="Y69" s="135"/>
      <c r="Z69" s="135"/>
    </row>
    <row r="70" spans="2:26" x14ac:dyDescent="0.25">
      <c r="B70" s="129"/>
      <c r="C70" s="130"/>
      <c r="D70" s="131"/>
      <c r="E70" s="132"/>
      <c r="F70" s="133"/>
      <c r="G70" s="133"/>
      <c r="H70" s="135"/>
      <c r="I70" s="135"/>
      <c r="J70" s="135"/>
      <c r="K70" s="135"/>
      <c r="L70" s="137"/>
      <c r="M70" s="135"/>
      <c r="N70" s="136"/>
      <c r="O70" s="137"/>
      <c r="P70" s="135"/>
      <c r="Q70" s="137"/>
      <c r="R70" s="135"/>
      <c r="S70" s="137"/>
      <c r="T70" s="135"/>
      <c r="U70" s="137"/>
      <c r="V70" s="135"/>
      <c r="W70" s="136"/>
      <c r="X70" s="136"/>
      <c r="Y70" s="135"/>
      <c r="Z70" s="135"/>
    </row>
    <row r="71" spans="2:26" x14ac:dyDescent="0.25">
      <c r="B71" s="129"/>
      <c r="C71" s="130"/>
      <c r="D71" s="131"/>
      <c r="E71" s="132"/>
      <c r="F71" s="133"/>
      <c r="G71" s="133"/>
      <c r="H71" s="135"/>
      <c r="I71" s="135"/>
      <c r="J71" s="135"/>
      <c r="K71" s="135"/>
      <c r="L71" s="137"/>
      <c r="M71" s="135"/>
      <c r="N71" s="136"/>
      <c r="O71" s="137"/>
      <c r="P71" s="135"/>
      <c r="Q71" s="137"/>
      <c r="R71" s="135"/>
      <c r="S71" s="137"/>
      <c r="T71" s="135"/>
      <c r="U71" s="137"/>
      <c r="V71" s="135"/>
      <c r="W71" s="136"/>
      <c r="X71" s="136"/>
      <c r="Y71" s="135"/>
      <c r="Z71" s="135"/>
    </row>
    <row r="72" spans="2:26" x14ac:dyDescent="0.25">
      <c r="B72" s="129"/>
      <c r="C72" s="130"/>
      <c r="D72" s="131"/>
      <c r="E72" s="132"/>
      <c r="F72" s="133"/>
      <c r="G72" s="133"/>
      <c r="H72" s="135"/>
      <c r="I72" s="135"/>
      <c r="J72" s="135"/>
      <c r="K72" s="135"/>
      <c r="L72" s="137"/>
      <c r="M72" s="135"/>
      <c r="N72" s="136"/>
      <c r="O72" s="137"/>
      <c r="P72" s="135"/>
      <c r="Q72" s="137"/>
      <c r="R72" s="135"/>
      <c r="S72" s="137"/>
      <c r="T72" s="135"/>
      <c r="U72" s="137"/>
      <c r="V72" s="135"/>
      <c r="W72" s="136"/>
      <c r="X72" s="136"/>
      <c r="Y72" s="135"/>
      <c r="Z72" s="135"/>
    </row>
    <row r="73" spans="2:26" x14ac:dyDescent="0.25">
      <c r="B73" s="129"/>
      <c r="C73" s="130"/>
      <c r="D73" s="131"/>
      <c r="E73" s="132"/>
      <c r="F73" s="133"/>
      <c r="G73" s="133"/>
      <c r="H73" s="135"/>
      <c r="I73" s="135"/>
      <c r="J73" s="135"/>
      <c r="K73" s="135"/>
      <c r="L73" s="137"/>
      <c r="M73" s="135"/>
      <c r="N73" s="136"/>
      <c r="O73" s="137"/>
      <c r="P73" s="135"/>
      <c r="Q73" s="137"/>
      <c r="R73" s="135"/>
      <c r="S73" s="137"/>
      <c r="T73" s="135"/>
      <c r="U73" s="137"/>
      <c r="V73" s="135"/>
      <c r="W73" s="136"/>
      <c r="X73" s="136"/>
      <c r="Y73" s="135"/>
      <c r="Z73" s="135"/>
    </row>
    <row r="74" spans="2:26" x14ac:dyDescent="0.25">
      <c r="B74" s="129"/>
      <c r="C74" s="130"/>
      <c r="D74" s="131"/>
      <c r="E74" s="132"/>
      <c r="F74" s="133"/>
      <c r="G74" s="133"/>
      <c r="H74" s="135"/>
      <c r="I74" s="135"/>
      <c r="J74" s="135"/>
      <c r="K74" s="135"/>
      <c r="L74" s="137"/>
      <c r="M74" s="135"/>
      <c r="N74" s="136"/>
      <c r="O74" s="137"/>
      <c r="P74" s="135"/>
      <c r="Q74" s="137"/>
      <c r="R74" s="135"/>
      <c r="S74" s="137"/>
      <c r="T74" s="135"/>
      <c r="U74" s="137"/>
      <c r="V74" s="135"/>
      <c r="W74" s="136"/>
      <c r="X74" s="136"/>
      <c r="Y74" s="135"/>
      <c r="Z74" s="135"/>
    </row>
    <row r="75" spans="2:26" x14ac:dyDescent="0.25">
      <c r="B75" s="129"/>
      <c r="C75" s="130"/>
      <c r="D75" s="131"/>
      <c r="E75" s="132"/>
      <c r="F75" s="133"/>
      <c r="G75" s="133"/>
      <c r="H75" s="135"/>
      <c r="I75" s="135"/>
      <c r="J75" s="135"/>
      <c r="K75" s="135"/>
      <c r="L75" s="135"/>
      <c r="M75" s="135"/>
      <c r="N75" s="136"/>
      <c r="O75" s="135"/>
      <c r="P75" s="135"/>
      <c r="Q75" s="135"/>
      <c r="R75" s="135"/>
      <c r="S75" s="135"/>
      <c r="T75" s="135"/>
      <c r="U75" s="135"/>
      <c r="V75" s="135"/>
      <c r="W75" s="136"/>
      <c r="X75" s="136"/>
      <c r="Y75" s="135"/>
      <c r="Z75" s="135"/>
    </row>
    <row r="76" spans="2:26" x14ac:dyDescent="0.25">
      <c r="B76" s="129"/>
      <c r="C76" s="130"/>
      <c r="D76" s="131"/>
      <c r="E76" s="132"/>
      <c r="F76" s="133"/>
      <c r="G76" s="134"/>
      <c r="H76" s="135"/>
      <c r="I76" s="135"/>
      <c r="J76" s="135"/>
      <c r="K76" s="135"/>
      <c r="L76" s="135"/>
      <c r="M76" s="135"/>
      <c r="N76" s="136"/>
      <c r="O76" s="135"/>
      <c r="P76" s="135"/>
      <c r="Q76" s="135"/>
      <c r="R76" s="135"/>
      <c r="S76" s="135"/>
      <c r="T76" s="135"/>
      <c r="U76" s="135"/>
      <c r="V76" s="135"/>
      <c r="W76" s="136"/>
      <c r="X76" s="136"/>
      <c r="Y76" s="135"/>
      <c r="Z76" s="135"/>
    </row>
    <row r="77" spans="2:26" x14ac:dyDescent="0.25">
      <c r="B77" s="129"/>
      <c r="C77" s="130"/>
      <c r="D77" s="131"/>
      <c r="E77" s="132"/>
      <c r="F77" s="133"/>
      <c r="G77" s="122"/>
      <c r="H77" s="135"/>
      <c r="I77" s="135"/>
      <c r="J77" s="135"/>
      <c r="K77" s="135"/>
      <c r="L77" s="135"/>
      <c r="M77" s="135"/>
      <c r="N77" s="136"/>
      <c r="O77" s="135"/>
      <c r="P77" s="135"/>
      <c r="Q77" s="135"/>
      <c r="R77" s="135"/>
      <c r="S77" s="135"/>
      <c r="T77" s="135"/>
      <c r="U77" s="135"/>
      <c r="V77" s="135"/>
      <c r="W77" s="136"/>
      <c r="X77" s="136"/>
      <c r="Y77" s="135"/>
      <c r="Z77" s="135"/>
    </row>
    <row r="78" spans="2:26" x14ac:dyDescent="0.25">
      <c r="B78" s="129"/>
      <c r="C78" s="130"/>
      <c r="D78" s="131"/>
      <c r="E78" s="132"/>
      <c r="F78" s="133"/>
      <c r="G78" s="133"/>
      <c r="H78" s="135"/>
      <c r="I78" s="135"/>
      <c r="J78" s="135"/>
      <c r="K78" s="135"/>
      <c r="L78" s="137"/>
      <c r="M78" s="135"/>
      <c r="N78" s="136"/>
      <c r="O78" s="137"/>
      <c r="P78" s="135"/>
      <c r="Q78" s="137"/>
      <c r="R78" s="135"/>
      <c r="S78" s="137"/>
      <c r="T78" s="135"/>
      <c r="U78" s="137"/>
      <c r="V78" s="135"/>
      <c r="W78" s="136"/>
      <c r="X78" s="136"/>
      <c r="Y78" s="135"/>
      <c r="Z78" s="135"/>
    </row>
    <row r="79" spans="2:26" x14ac:dyDescent="0.25">
      <c r="B79" s="129"/>
      <c r="C79" s="130"/>
      <c r="D79" s="131"/>
      <c r="E79" s="132"/>
      <c r="F79" s="133"/>
      <c r="G79" s="133"/>
      <c r="H79" s="135"/>
      <c r="I79" s="135"/>
      <c r="J79" s="135"/>
      <c r="K79" s="135"/>
      <c r="L79" s="137"/>
      <c r="M79" s="135"/>
      <c r="N79" s="136"/>
      <c r="O79" s="137"/>
      <c r="P79" s="135"/>
      <c r="Q79" s="137"/>
      <c r="R79" s="135"/>
      <c r="S79" s="137"/>
      <c r="T79" s="135"/>
      <c r="U79" s="137"/>
      <c r="V79" s="135"/>
      <c r="W79" s="136"/>
      <c r="Y79" s="135"/>
      <c r="Z79" s="135"/>
    </row>
    <row r="80" spans="2:26" x14ac:dyDescent="0.25">
      <c r="B80" s="129"/>
      <c r="C80" s="130"/>
      <c r="D80" s="131"/>
      <c r="E80" s="132"/>
      <c r="F80" s="133"/>
      <c r="G80" s="133"/>
      <c r="H80" s="135"/>
      <c r="I80" s="135"/>
      <c r="J80" s="135"/>
      <c r="K80" s="135"/>
      <c r="L80" s="137"/>
      <c r="M80" s="135"/>
      <c r="N80" s="136"/>
      <c r="O80" s="137"/>
      <c r="P80" s="135"/>
      <c r="Q80" s="137"/>
      <c r="R80" s="135"/>
      <c r="S80" s="137"/>
      <c r="T80" s="135"/>
      <c r="U80" s="137"/>
      <c r="V80" s="135"/>
      <c r="W80" s="136"/>
      <c r="X80" s="136"/>
      <c r="Y80" s="135"/>
      <c r="Z80" s="135"/>
    </row>
    <row r="81" spans="2:26" x14ac:dyDescent="0.25">
      <c r="B81" s="129"/>
      <c r="C81" s="130"/>
      <c r="D81" s="131"/>
      <c r="E81" s="132"/>
      <c r="F81" s="133"/>
      <c r="G81" s="133"/>
      <c r="H81" s="135"/>
      <c r="I81" s="135"/>
      <c r="J81" s="135"/>
      <c r="K81" s="135"/>
      <c r="L81" s="135"/>
      <c r="M81" s="135"/>
      <c r="N81" s="136"/>
      <c r="O81" s="135"/>
      <c r="P81" s="135"/>
      <c r="Q81" s="135"/>
      <c r="R81" s="135"/>
      <c r="S81" s="135"/>
      <c r="T81" s="135"/>
      <c r="U81" s="135"/>
      <c r="V81" s="135"/>
      <c r="W81" s="136"/>
      <c r="X81" s="136"/>
      <c r="Y81" s="135"/>
      <c r="Z81" s="135"/>
    </row>
    <row r="82" spans="2:26" x14ac:dyDescent="0.25">
      <c r="B82" s="129"/>
      <c r="C82" s="130"/>
      <c r="D82" s="131"/>
      <c r="E82" s="132"/>
      <c r="F82" s="133"/>
      <c r="G82" s="134"/>
      <c r="H82" s="135"/>
      <c r="I82" s="135"/>
      <c r="J82" s="135"/>
      <c r="K82" s="135"/>
      <c r="L82" s="135"/>
      <c r="M82" s="135"/>
      <c r="N82" s="136"/>
      <c r="O82" s="135"/>
      <c r="P82" s="135"/>
      <c r="Q82" s="135"/>
      <c r="R82" s="135"/>
      <c r="S82" s="135"/>
      <c r="T82" s="135"/>
      <c r="U82" s="135"/>
      <c r="V82" s="135"/>
      <c r="W82" s="136"/>
      <c r="X82" s="136"/>
      <c r="Y82" s="135"/>
      <c r="Z82" s="135"/>
    </row>
    <row r="83" spans="2:26" x14ac:dyDescent="0.25">
      <c r="B83" s="129"/>
      <c r="C83" s="130"/>
      <c r="D83" s="131"/>
      <c r="E83" s="132"/>
      <c r="F83" s="133"/>
      <c r="G83" s="122"/>
      <c r="H83" s="135"/>
      <c r="I83" s="135"/>
      <c r="J83" s="135"/>
      <c r="K83" s="135"/>
      <c r="L83" s="135"/>
      <c r="M83" s="135"/>
      <c r="N83" s="136"/>
      <c r="O83" s="135"/>
      <c r="P83" s="135"/>
      <c r="Q83" s="135"/>
      <c r="R83" s="135"/>
      <c r="S83" s="135"/>
      <c r="T83" s="135"/>
      <c r="U83" s="135"/>
      <c r="V83" s="135"/>
      <c r="W83" s="136"/>
      <c r="X83" s="136"/>
      <c r="Y83" s="135"/>
      <c r="Z83" s="135"/>
    </row>
    <row r="84" spans="2:26" x14ac:dyDescent="0.25">
      <c r="B84" s="129"/>
      <c r="C84" s="130"/>
      <c r="D84" s="131"/>
      <c r="E84" s="132"/>
      <c r="F84" s="133"/>
      <c r="G84" s="133"/>
      <c r="H84" s="135"/>
      <c r="I84" s="135"/>
      <c r="J84" s="135"/>
      <c r="K84" s="135"/>
      <c r="L84" s="137"/>
      <c r="M84" s="135"/>
      <c r="N84" s="136"/>
      <c r="O84" s="137"/>
      <c r="P84" s="135"/>
      <c r="Q84" s="137"/>
      <c r="R84" s="135"/>
      <c r="S84" s="137"/>
      <c r="T84" s="135"/>
      <c r="U84" s="137"/>
      <c r="V84" s="135"/>
      <c r="W84" s="136"/>
      <c r="X84" s="136"/>
      <c r="Y84" s="135"/>
      <c r="Z84" s="135"/>
    </row>
    <row r="85" spans="2:26" x14ac:dyDescent="0.25">
      <c r="B85" s="129"/>
      <c r="C85" s="130"/>
      <c r="D85" s="131"/>
      <c r="E85" s="132"/>
      <c r="F85" s="133"/>
      <c r="G85" s="133"/>
      <c r="H85" s="135"/>
      <c r="I85" s="135"/>
      <c r="J85" s="135"/>
      <c r="K85" s="135"/>
      <c r="L85" s="135"/>
      <c r="M85" s="135"/>
      <c r="N85" s="136"/>
      <c r="O85" s="135"/>
      <c r="P85" s="135"/>
      <c r="Q85" s="135"/>
      <c r="R85" s="135"/>
      <c r="S85" s="135"/>
      <c r="T85" s="135"/>
      <c r="U85" s="135"/>
      <c r="V85" s="135"/>
      <c r="W85" s="136"/>
      <c r="X85" s="136"/>
      <c r="Y85" s="135"/>
      <c r="Z85" s="135"/>
    </row>
    <row r="86" spans="2:26" x14ac:dyDescent="0.25">
      <c r="B86" s="129"/>
      <c r="C86" s="130"/>
      <c r="D86" s="131"/>
      <c r="E86" s="132"/>
      <c r="F86" s="133"/>
      <c r="G86" s="134"/>
      <c r="H86" s="135"/>
      <c r="I86" s="135"/>
      <c r="J86" s="135"/>
      <c r="K86" s="135"/>
      <c r="L86" s="135"/>
      <c r="M86" s="135"/>
      <c r="N86" s="136"/>
      <c r="O86" s="135"/>
      <c r="P86" s="135"/>
      <c r="Q86" s="135"/>
      <c r="R86" s="135"/>
      <c r="S86" s="135"/>
      <c r="T86" s="135"/>
      <c r="U86" s="135"/>
      <c r="V86" s="135"/>
      <c r="W86" s="136"/>
      <c r="X86" s="136"/>
      <c r="Y86" s="135"/>
      <c r="Z86" s="135"/>
    </row>
    <row r="87" spans="2:26" x14ac:dyDescent="0.25">
      <c r="B87" s="129"/>
      <c r="C87" s="130"/>
      <c r="D87" s="131"/>
      <c r="E87" s="132"/>
      <c r="F87" s="133"/>
      <c r="G87" s="122"/>
      <c r="H87" s="135"/>
      <c r="I87" s="135"/>
      <c r="J87" s="135"/>
      <c r="K87" s="135"/>
      <c r="L87" s="135"/>
      <c r="M87" s="135"/>
      <c r="N87" s="136"/>
      <c r="O87" s="135"/>
      <c r="P87" s="135"/>
      <c r="Q87" s="135"/>
      <c r="R87" s="135"/>
      <c r="S87" s="135"/>
      <c r="T87" s="135"/>
      <c r="U87" s="135"/>
      <c r="V87" s="135"/>
      <c r="W87" s="136"/>
      <c r="X87" s="136"/>
      <c r="Y87" s="135"/>
      <c r="Z87" s="135"/>
    </row>
    <row r="88" spans="2:26" x14ac:dyDescent="0.25">
      <c r="B88" s="129"/>
      <c r="C88" s="130"/>
      <c r="D88" s="131"/>
      <c r="E88" s="132"/>
      <c r="F88" s="133"/>
      <c r="G88" s="133"/>
      <c r="H88" s="135"/>
      <c r="I88" s="135"/>
      <c r="J88" s="135"/>
      <c r="K88" s="135"/>
      <c r="L88" s="137"/>
      <c r="M88" s="135"/>
      <c r="N88" s="136"/>
      <c r="O88" s="137"/>
      <c r="P88" s="135"/>
      <c r="Q88" s="137"/>
      <c r="R88" s="135"/>
      <c r="S88" s="137"/>
      <c r="T88" s="135"/>
      <c r="U88" s="137"/>
      <c r="V88" s="135"/>
      <c r="W88" s="136"/>
      <c r="X88" s="136"/>
      <c r="Y88" s="135"/>
      <c r="Z88" s="135"/>
    </row>
    <row r="89" spans="2:26" x14ac:dyDescent="0.25">
      <c r="B89" s="129"/>
      <c r="C89" s="130"/>
      <c r="D89" s="131"/>
      <c r="E89" s="132"/>
      <c r="F89" s="133"/>
      <c r="G89" s="133"/>
      <c r="H89" s="135"/>
      <c r="I89" s="135"/>
      <c r="J89" s="135"/>
      <c r="K89" s="135"/>
      <c r="L89" s="137"/>
      <c r="M89" s="135"/>
      <c r="N89" s="136"/>
      <c r="O89" s="137"/>
      <c r="P89" s="135"/>
      <c r="Q89" s="137"/>
      <c r="R89" s="135"/>
      <c r="S89" s="137"/>
      <c r="T89" s="135"/>
      <c r="U89" s="137"/>
      <c r="V89" s="135"/>
      <c r="W89" s="136"/>
      <c r="X89" s="136"/>
      <c r="Y89" s="135"/>
      <c r="Z89" s="135"/>
    </row>
    <row r="90" spans="2:26" x14ac:dyDescent="0.25">
      <c r="B90" s="129"/>
      <c r="C90" s="130"/>
      <c r="D90" s="131"/>
      <c r="E90" s="132"/>
      <c r="F90" s="133"/>
      <c r="G90" s="133"/>
      <c r="H90" s="135"/>
      <c r="I90" s="135"/>
      <c r="J90" s="135"/>
      <c r="K90" s="135"/>
      <c r="L90" s="137"/>
      <c r="M90" s="135"/>
      <c r="N90" s="136"/>
      <c r="O90" s="137"/>
      <c r="P90" s="135"/>
      <c r="Q90" s="137"/>
      <c r="R90" s="135"/>
      <c r="S90" s="137"/>
      <c r="T90" s="135"/>
      <c r="U90" s="137"/>
      <c r="V90" s="135"/>
      <c r="W90" s="136"/>
      <c r="X90" s="136"/>
      <c r="Y90" s="135"/>
      <c r="Z90" s="135"/>
    </row>
    <row r="91" spans="2:26" x14ac:dyDescent="0.25">
      <c r="B91" s="129"/>
      <c r="C91" s="130"/>
      <c r="D91" s="131"/>
      <c r="E91" s="132"/>
      <c r="F91" s="133"/>
      <c r="G91" s="133"/>
      <c r="H91" s="135"/>
      <c r="I91" s="135"/>
      <c r="J91" s="135"/>
      <c r="K91" s="135"/>
      <c r="L91" s="135"/>
      <c r="M91" s="135"/>
      <c r="N91" s="136"/>
      <c r="O91" s="135"/>
      <c r="P91" s="135"/>
      <c r="Q91" s="135"/>
      <c r="R91" s="135"/>
      <c r="S91" s="135"/>
      <c r="T91" s="135"/>
      <c r="U91" s="135"/>
      <c r="V91" s="135"/>
      <c r="W91" s="136"/>
      <c r="X91" s="136"/>
      <c r="Y91" s="135"/>
      <c r="Z91" s="135"/>
    </row>
    <row r="92" spans="2:26" x14ac:dyDescent="0.25">
      <c r="B92" s="129"/>
      <c r="C92" s="130"/>
      <c r="D92" s="131"/>
      <c r="E92" s="132"/>
      <c r="F92" s="133"/>
      <c r="G92" s="134"/>
      <c r="H92" s="135"/>
      <c r="I92" s="135"/>
      <c r="J92" s="135"/>
      <c r="K92" s="135"/>
      <c r="L92" s="137"/>
      <c r="M92" s="135"/>
      <c r="N92" s="136"/>
      <c r="O92" s="135"/>
      <c r="P92" s="135"/>
      <c r="Q92" s="135"/>
      <c r="R92" s="135"/>
      <c r="S92" s="135"/>
      <c r="T92" s="135"/>
      <c r="U92" s="135"/>
      <c r="V92" s="135"/>
      <c r="W92" s="136"/>
      <c r="X92" s="136"/>
      <c r="Y92" s="135"/>
      <c r="Z92" s="135"/>
    </row>
    <row r="93" spans="2:26" x14ac:dyDescent="0.25">
      <c r="B93" s="129"/>
      <c r="C93" s="130"/>
      <c r="D93" s="131"/>
      <c r="E93" s="132"/>
      <c r="F93" s="133"/>
      <c r="G93" s="122"/>
      <c r="H93" s="135"/>
      <c r="I93" s="135"/>
      <c r="J93" s="135"/>
      <c r="K93" s="135"/>
      <c r="L93" s="137"/>
      <c r="M93" s="135"/>
      <c r="N93" s="136"/>
      <c r="O93" s="135"/>
      <c r="P93" s="135"/>
      <c r="Q93" s="135"/>
      <c r="R93" s="135"/>
      <c r="S93" s="135"/>
      <c r="T93" s="135"/>
      <c r="U93" s="135"/>
      <c r="V93" s="135"/>
      <c r="W93" s="136"/>
      <c r="X93" s="136"/>
      <c r="Y93" s="135"/>
      <c r="Z93" s="135"/>
    </row>
    <row r="94" spans="2:26" x14ac:dyDescent="0.25">
      <c r="B94" s="129"/>
      <c r="C94" s="130"/>
      <c r="D94" s="131"/>
      <c r="E94" s="132"/>
      <c r="F94" s="133"/>
      <c r="G94" s="133"/>
      <c r="H94" s="135"/>
      <c r="I94" s="135"/>
      <c r="J94" s="135"/>
      <c r="K94" s="135"/>
      <c r="L94" s="137"/>
      <c r="M94" s="135"/>
      <c r="N94" s="136"/>
      <c r="O94" s="137"/>
      <c r="P94" s="135"/>
      <c r="Q94" s="137"/>
      <c r="R94" s="135"/>
      <c r="S94" s="137"/>
      <c r="T94" s="135"/>
      <c r="U94" s="137"/>
      <c r="V94" s="135"/>
      <c r="W94" s="136"/>
      <c r="X94" s="136"/>
      <c r="Y94" s="135"/>
      <c r="Z94" s="135"/>
    </row>
    <row r="95" spans="2:26" x14ac:dyDescent="0.25">
      <c r="B95" s="129"/>
      <c r="C95" s="130"/>
      <c r="D95" s="131"/>
      <c r="E95" s="132"/>
      <c r="F95" s="133"/>
      <c r="G95" s="133"/>
      <c r="H95" s="135"/>
      <c r="I95" s="135"/>
      <c r="J95" s="135"/>
      <c r="K95" s="135"/>
      <c r="L95" s="137"/>
      <c r="M95" s="135"/>
      <c r="N95" s="136"/>
      <c r="O95" s="137"/>
      <c r="P95" s="135"/>
      <c r="Q95" s="137"/>
      <c r="R95" s="135"/>
      <c r="S95" s="137"/>
      <c r="T95" s="135"/>
      <c r="U95" s="137"/>
      <c r="V95" s="135"/>
      <c r="W95" s="136"/>
      <c r="X95" s="136"/>
      <c r="Y95" s="135"/>
      <c r="Z95" s="135"/>
    </row>
    <row r="96" spans="2:26" x14ac:dyDescent="0.25">
      <c r="B96" s="129"/>
      <c r="C96" s="130"/>
      <c r="D96" s="131"/>
      <c r="E96" s="132"/>
      <c r="F96" s="133"/>
      <c r="G96" s="133"/>
      <c r="H96" s="135"/>
      <c r="I96" s="135"/>
      <c r="J96" s="135"/>
      <c r="K96" s="135"/>
      <c r="L96" s="135"/>
      <c r="M96" s="135"/>
      <c r="N96" s="136"/>
      <c r="O96" s="135"/>
      <c r="P96" s="135"/>
      <c r="Q96" s="135"/>
      <c r="R96" s="135"/>
      <c r="S96" s="135"/>
      <c r="T96" s="135"/>
      <c r="U96" s="135"/>
      <c r="V96" s="135"/>
      <c r="W96" s="136"/>
      <c r="X96" s="136"/>
      <c r="Y96" s="135"/>
      <c r="Z96" s="135"/>
    </row>
    <row r="97" spans="2:26" x14ac:dyDescent="0.25">
      <c r="B97" s="129"/>
      <c r="C97" s="130"/>
      <c r="D97" s="131"/>
      <c r="E97" s="132"/>
      <c r="F97" s="133"/>
      <c r="G97" s="134"/>
      <c r="H97" s="135"/>
      <c r="I97" s="135"/>
      <c r="J97" s="135"/>
      <c r="K97" s="135"/>
      <c r="L97" s="137"/>
      <c r="M97" s="135"/>
      <c r="N97" s="136"/>
      <c r="O97" s="135"/>
      <c r="P97" s="135"/>
      <c r="Q97" s="135"/>
      <c r="R97" s="135"/>
      <c r="S97" s="135"/>
      <c r="T97" s="135"/>
      <c r="U97" s="135"/>
      <c r="V97" s="135"/>
      <c r="W97" s="136"/>
      <c r="X97" s="136"/>
      <c r="Y97" s="135"/>
      <c r="Z97" s="135"/>
    </row>
    <row r="98" spans="2:26" x14ac:dyDescent="0.25">
      <c r="B98" s="129"/>
      <c r="C98" s="130"/>
      <c r="D98" s="131"/>
      <c r="E98" s="132"/>
      <c r="F98" s="133"/>
      <c r="G98" s="122"/>
      <c r="H98" s="135"/>
      <c r="I98" s="135"/>
      <c r="J98" s="135"/>
      <c r="K98" s="135"/>
      <c r="L98" s="137"/>
      <c r="M98" s="135"/>
      <c r="N98" s="136"/>
      <c r="O98" s="137"/>
      <c r="P98" s="135"/>
      <c r="Q98" s="137"/>
      <c r="R98" s="135"/>
      <c r="S98" s="137"/>
      <c r="T98" s="135"/>
      <c r="U98" s="137"/>
      <c r="V98" s="135"/>
      <c r="W98" s="136"/>
      <c r="X98" s="136"/>
      <c r="Y98" s="135"/>
      <c r="Z98" s="135"/>
    </row>
    <row r="99" spans="2:26" x14ac:dyDescent="0.25">
      <c r="B99" s="129"/>
      <c r="C99" s="130"/>
      <c r="D99" s="131"/>
      <c r="E99" s="132"/>
      <c r="F99" s="133"/>
      <c r="G99" s="133"/>
      <c r="H99" s="135"/>
      <c r="I99" s="135"/>
      <c r="J99" s="135"/>
      <c r="K99" s="135"/>
      <c r="L99" s="137"/>
      <c r="M99" s="135"/>
      <c r="N99" s="136"/>
      <c r="O99" s="137"/>
      <c r="P99" s="135"/>
      <c r="Q99" s="137"/>
      <c r="R99" s="135"/>
      <c r="S99" s="137"/>
      <c r="T99" s="135"/>
      <c r="U99" s="137"/>
      <c r="V99" s="135"/>
      <c r="W99" s="136"/>
      <c r="X99" s="136"/>
      <c r="Y99" s="135"/>
      <c r="Z99" s="135"/>
    </row>
    <row r="100" spans="2:26" x14ac:dyDescent="0.25">
      <c r="B100" s="129"/>
      <c r="C100" s="130"/>
      <c r="D100" s="131"/>
      <c r="E100" s="132"/>
      <c r="F100" s="133"/>
      <c r="G100" s="133"/>
      <c r="H100" s="135"/>
      <c r="I100" s="135"/>
      <c r="J100" s="135"/>
      <c r="K100" s="135"/>
      <c r="L100" s="135"/>
      <c r="M100" s="135"/>
      <c r="N100" s="136"/>
      <c r="O100" s="135"/>
      <c r="P100" s="135"/>
      <c r="Q100" s="135"/>
      <c r="R100" s="135"/>
      <c r="S100" s="135"/>
      <c r="T100" s="135"/>
      <c r="U100" s="135"/>
      <c r="V100" s="135"/>
      <c r="W100" s="136"/>
      <c r="X100" s="136"/>
      <c r="Y100" s="135"/>
      <c r="Z100" s="135"/>
    </row>
    <row r="101" spans="2:26" x14ac:dyDescent="0.25">
      <c r="B101" s="129"/>
      <c r="C101" s="130"/>
      <c r="D101" s="131"/>
      <c r="E101" s="132"/>
      <c r="F101" s="133"/>
      <c r="G101" s="134"/>
      <c r="H101" s="135"/>
      <c r="I101" s="135"/>
      <c r="J101" s="135"/>
      <c r="K101" s="135"/>
      <c r="L101" s="137"/>
      <c r="M101" s="135"/>
      <c r="N101" s="136"/>
      <c r="O101" s="135"/>
      <c r="P101" s="135"/>
      <c r="Q101" s="135"/>
      <c r="R101" s="135"/>
      <c r="S101" s="135"/>
      <c r="T101" s="135"/>
      <c r="U101" s="135"/>
      <c r="V101" s="135"/>
      <c r="W101" s="136"/>
      <c r="X101" s="136"/>
      <c r="Y101" s="135"/>
      <c r="Z101" s="135"/>
    </row>
    <row r="102" spans="2:26" x14ac:dyDescent="0.25">
      <c r="B102" s="129"/>
      <c r="C102" s="130"/>
      <c r="D102" s="131"/>
      <c r="E102" s="132"/>
      <c r="F102" s="133"/>
      <c r="G102" s="122"/>
      <c r="H102" s="135"/>
      <c r="I102" s="135"/>
      <c r="J102" s="135"/>
      <c r="K102" s="135"/>
      <c r="L102" s="137"/>
      <c r="M102" s="135"/>
      <c r="N102" s="136"/>
      <c r="O102" s="135"/>
      <c r="P102" s="135"/>
      <c r="Q102" s="135"/>
      <c r="R102" s="135"/>
      <c r="S102" s="135"/>
      <c r="T102" s="135"/>
      <c r="U102" s="135"/>
      <c r="V102" s="135"/>
      <c r="W102" s="136"/>
      <c r="X102" s="136"/>
      <c r="Y102" s="135"/>
      <c r="Z102" s="135"/>
    </row>
    <row r="103" spans="2:26" x14ac:dyDescent="0.25">
      <c r="B103" s="129"/>
      <c r="C103" s="130"/>
      <c r="D103" s="131"/>
      <c r="E103" s="132"/>
      <c r="F103" s="133"/>
      <c r="G103" s="133"/>
      <c r="H103" s="135"/>
      <c r="I103" s="135"/>
      <c r="J103" s="135"/>
      <c r="K103" s="135"/>
      <c r="L103" s="137"/>
      <c r="M103" s="135"/>
      <c r="N103" s="136"/>
      <c r="O103" s="137"/>
      <c r="P103" s="135"/>
      <c r="Q103" s="137"/>
      <c r="R103" s="135"/>
      <c r="S103" s="137"/>
      <c r="T103" s="135"/>
      <c r="U103" s="137"/>
      <c r="V103" s="135"/>
      <c r="W103" s="136"/>
      <c r="X103" s="136"/>
      <c r="Y103" s="135"/>
      <c r="Z103" s="135"/>
    </row>
    <row r="104" spans="2:26" x14ac:dyDescent="0.25">
      <c r="B104" s="129"/>
      <c r="C104" s="130"/>
      <c r="D104" s="131"/>
      <c r="E104" s="132"/>
      <c r="F104" s="133"/>
      <c r="G104" s="133"/>
      <c r="H104" s="135"/>
      <c r="I104" s="135"/>
      <c r="J104" s="135"/>
      <c r="K104" s="135"/>
      <c r="L104" s="137"/>
      <c r="M104" s="135"/>
      <c r="N104" s="136"/>
      <c r="O104" s="137"/>
      <c r="P104" s="135"/>
      <c r="Q104" s="137"/>
      <c r="R104" s="135"/>
      <c r="S104" s="137"/>
      <c r="T104" s="135"/>
      <c r="U104" s="137"/>
      <c r="V104" s="135"/>
      <c r="W104" s="136"/>
      <c r="X104" s="136"/>
      <c r="Y104" s="135"/>
      <c r="Z104" s="135"/>
    </row>
    <row r="105" spans="2:26" x14ac:dyDescent="0.25">
      <c r="B105" s="129"/>
      <c r="C105" s="130"/>
      <c r="D105" s="131"/>
      <c r="E105" s="132"/>
      <c r="F105" s="133"/>
      <c r="G105" s="133"/>
      <c r="H105" s="135"/>
      <c r="I105" s="135"/>
      <c r="J105" s="135"/>
      <c r="K105" s="135"/>
      <c r="L105" s="137"/>
      <c r="M105" s="135"/>
      <c r="N105" s="136"/>
      <c r="O105" s="137"/>
      <c r="P105" s="135"/>
      <c r="Q105" s="137"/>
      <c r="R105" s="135"/>
      <c r="S105" s="137"/>
      <c r="T105" s="135"/>
      <c r="U105" s="137"/>
      <c r="V105" s="135"/>
      <c r="W105" s="136"/>
      <c r="X105" s="136"/>
      <c r="Y105" s="135"/>
      <c r="Z105" s="135"/>
    </row>
    <row r="106" spans="2:26" x14ac:dyDescent="0.25">
      <c r="B106" s="129"/>
      <c r="C106" s="130"/>
      <c r="D106" s="131"/>
      <c r="E106" s="132"/>
      <c r="F106" s="133"/>
      <c r="G106" s="133"/>
      <c r="H106" s="135"/>
      <c r="I106" s="135"/>
      <c r="J106" s="135"/>
      <c r="K106" s="135"/>
      <c r="L106" s="137"/>
      <c r="M106" s="135"/>
      <c r="N106" s="136"/>
      <c r="O106" s="137"/>
      <c r="P106" s="135"/>
      <c r="Q106" s="137"/>
      <c r="R106" s="135"/>
      <c r="S106" s="137"/>
      <c r="T106" s="135"/>
      <c r="U106" s="137"/>
      <c r="V106" s="135"/>
      <c r="W106" s="136"/>
      <c r="X106" s="136"/>
      <c r="Y106" s="135"/>
      <c r="Z106" s="135"/>
    </row>
    <row r="107" spans="2:26" x14ac:dyDescent="0.25">
      <c r="B107" s="129"/>
      <c r="C107" s="130"/>
      <c r="D107" s="131"/>
      <c r="E107" s="132"/>
      <c r="F107" s="133"/>
      <c r="G107" s="133"/>
      <c r="H107" s="135"/>
      <c r="I107" s="135"/>
      <c r="J107" s="135"/>
      <c r="K107" s="135"/>
      <c r="L107" s="137"/>
      <c r="M107" s="135"/>
      <c r="N107" s="136"/>
      <c r="O107" s="137"/>
      <c r="P107" s="135"/>
      <c r="Q107" s="137"/>
      <c r="R107" s="135"/>
      <c r="S107" s="137"/>
      <c r="T107" s="135"/>
      <c r="U107" s="137"/>
      <c r="V107" s="135"/>
      <c r="W107" s="136"/>
      <c r="X107" s="136"/>
      <c r="Y107" s="135"/>
      <c r="Z107" s="135"/>
    </row>
    <row r="108" spans="2:26" x14ac:dyDescent="0.25">
      <c r="B108" s="129"/>
      <c r="C108" s="130"/>
      <c r="D108" s="131"/>
      <c r="E108" s="132"/>
      <c r="F108" s="133"/>
      <c r="G108" s="133"/>
      <c r="H108" s="135"/>
      <c r="I108" s="135"/>
      <c r="J108" s="135"/>
      <c r="K108" s="135"/>
      <c r="L108" s="135"/>
      <c r="M108" s="135"/>
      <c r="N108" s="136"/>
      <c r="O108" s="135"/>
      <c r="P108" s="135"/>
      <c r="Q108" s="135"/>
      <c r="R108" s="135"/>
      <c r="S108" s="135"/>
      <c r="T108" s="135"/>
      <c r="U108" s="135"/>
      <c r="V108" s="135"/>
      <c r="W108" s="136"/>
      <c r="X108" s="136"/>
      <c r="Y108" s="135"/>
      <c r="Z108" s="135"/>
    </row>
    <row r="109" spans="2:26" x14ac:dyDescent="0.25">
      <c r="B109" s="129"/>
      <c r="C109" s="130"/>
      <c r="D109" s="131"/>
      <c r="E109" s="132"/>
      <c r="F109" s="133"/>
      <c r="G109" s="134"/>
      <c r="H109" s="135"/>
      <c r="I109" s="135"/>
      <c r="J109" s="135"/>
      <c r="K109" s="135"/>
      <c r="L109" s="137"/>
      <c r="M109" s="135"/>
      <c r="N109" s="136"/>
      <c r="O109" s="135"/>
      <c r="P109" s="135"/>
      <c r="Q109" s="135"/>
      <c r="R109" s="135"/>
      <c r="S109" s="135"/>
      <c r="T109" s="135"/>
      <c r="U109" s="135"/>
      <c r="V109" s="135"/>
      <c r="W109" s="136"/>
      <c r="X109" s="136"/>
      <c r="Y109" s="135"/>
      <c r="Z109" s="135"/>
    </row>
    <row r="110" spans="2:26" x14ac:dyDescent="0.25">
      <c r="B110" s="129"/>
      <c r="C110" s="130"/>
      <c r="D110" s="131"/>
      <c r="E110" s="132"/>
      <c r="F110" s="133"/>
      <c r="G110" s="122"/>
      <c r="H110" s="135"/>
      <c r="I110" s="135"/>
      <c r="J110" s="135"/>
      <c r="K110" s="135"/>
      <c r="L110" s="137"/>
      <c r="M110" s="135"/>
      <c r="N110" s="136"/>
      <c r="O110" s="135"/>
      <c r="P110" s="135"/>
      <c r="Q110" s="135"/>
      <c r="R110" s="135"/>
      <c r="S110" s="135"/>
      <c r="T110" s="135"/>
      <c r="U110" s="135"/>
      <c r="V110" s="135"/>
      <c r="W110" s="136"/>
      <c r="X110" s="136"/>
      <c r="Y110" s="135"/>
      <c r="Z110" s="135"/>
    </row>
    <row r="111" spans="2:26" x14ac:dyDescent="0.25">
      <c r="B111" s="129"/>
      <c r="C111" s="130"/>
      <c r="D111" s="131"/>
      <c r="E111" s="132"/>
      <c r="F111" s="133"/>
      <c r="G111" s="133"/>
      <c r="H111" s="135"/>
      <c r="I111" s="135"/>
      <c r="J111" s="135"/>
      <c r="K111" s="135"/>
      <c r="L111" s="137"/>
      <c r="M111" s="135"/>
      <c r="N111" s="136"/>
      <c r="O111" s="137"/>
      <c r="P111" s="135"/>
      <c r="Q111" s="137"/>
      <c r="R111" s="135"/>
      <c r="S111" s="137"/>
      <c r="T111" s="135"/>
      <c r="U111" s="137"/>
      <c r="V111" s="135"/>
      <c r="W111" s="136"/>
      <c r="X111" s="136"/>
      <c r="Y111" s="135"/>
      <c r="Z111" s="135"/>
    </row>
    <row r="112" spans="2:26" x14ac:dyDescent="0.25">
      <c r="B112" s="129"/>
      <c r="C112" s="130"/>
      <c r="D112" s="131"/>
      <c r="E112" s="132"/>
      <c r="F112" s="133"/>
      <c r="G112" s="133"/>
      <c r="H112" s="135"/>
      <c r="I112" s="135"/>
      <c r="J112" s="135"/>
      <c r="K112" s="135"/>
      <c r="L112" s="135"/>
      <c r="M112" s="135"/>
      <c r="N112" s="136"/>
      <c r="O112" s="135"/>
      <c r="P112" s="135"/>
      <c r="Q112" s="135"/>
      <c r="R112" s="135"/>
      <c r="S112" s="135"/>
      <c r="T112" s="135"/>
      <c r="U112" s="135"/>
      <c r="V112" s="135"/>
      <c r="W112" s="136"/>
      <c r="X112" s="136"/>
      <c r="Y112" s="135"/>
      <c r="Z112" s="135"/>
    </row>
    <row r="113" spans="2:26" x14ac:dyDescent="0.25">
      <c r="B113" s="129"/>
      <c r="C113" s="130"/>
      <c r="D113" s="131"/>
      <c r="E113" s="132"/>
      <c r="F113" s="133"/>
      <c r="G113" s="133"/>
      <c r="H113" s="135"/>
      <c r="I113" s="135"/>
      <c r="J113" s="135"/>
      <c r="K113" s="135"/>
      <c r="L113" s="137"/>
      <c r="M113" s="135"/>
      <c r="N113" s="136"/>
      <c r="O113" s="135"/>
      <c r="P113" s="135"/>
      <c r="Q113" s="135"/>
      <c r="R113" s="135"/>
      <c r="S113" s="135"/>
      <c r="T113" s="135"/>
      <c r="U113" s="135"/>
      <c r="V113" s="135"/>
      <c r="W113" s="136"/>
      <c r="X113" s="136"/>
      <c r="Y113" s="135"/>
      <c r="Z113" s="135"/>
    </row>
    <row r="114" spans="2:26" x14ac:dyDescent="0.25">
      <c r="B114" s="129"/>
      <c r="C114" s="130"/>
      <c r="D114" s="131"/>
      <c r="E114" s="132"/>
      <c r="F114" s="133"/>
      <c r="G114" s="122"/>
      <c r="H114" s="135"/>
      <c r="I114" s="135"/>
      <c r="J114" s="135"/>
      <c r="K114" s="135"/>
      <c r="L114" s="137"/>
      <c r="M114" s="135"/>
      <c r="N114" s="136"/>
      <c r="O114" s="135"/>
      <c r="P114" s="135"/>
      <c r="Q114" s="135"/>
      <c r="R114" s="135"/>
      <c r="S114" s="135"/>
      <c r="T114" s="135"/>
      <c r="U114" s="135"/>
      <c r="V114" s="135"/>
      <c r="W114" s="136"/>
      <c r="X114" s="136"/>
      <c r="Y114" s="135"/>
      <c r="Z114" s="135"/>
    </row>
    <row r="115" spans="2:26" x14ac:dyDescent="0.25">
      <c r="B115" s="129"/>
      <c r="C115" s="130"/>
      <c r="D115" s="131"/>
      <c r="E115" s="132"/>
      <c r="F115" s="133"/>
      <c r="G115" s="133"/>
      <c r="H115" s="135"/>
      <c r="I115" s="135"/>
      <c r="J115" s="135"/>
      <c r="K115" s="135"/>
      <c r="L115" s="137"/>
      <c r="M115" s="135"/>
      <c r="N115" s="136"/>
      <c r="O115" s="137"/>
      <c r="P115" s="135"/>
      <c r="Q115" s="137"/>
      <c r="R115" s="135"/>
      <c r="S115" s="137"/>
      <c r="T115" s="135"/>
      <c r="U115" s="137"/>
      <c r="V115" s="135"/>
      <c r="W115" s="136"/>
      <c r="X115" s="136"/>
      <c r="Y115" s="135"/>
      <c r="Z115" s="135"/>
    </row>
    <row r="116" spans="2:26" x14ac:dyDescent="0.25">
      <c r="B116" s="129"/>
      <c r="C116" s="130"/>
      <c r="D116" s="131"/>
      <c r="E116" s="132"/>
      <c r="F116" s="133"/>
      <c r="G116" s="133"/>
      <c r="H116" s="135"/>
      <c r="I116" s="135"/>
      <c r="J116" s="135"/>
      <c r="K116" s="135"/>
      <c r="L116" s="135"/>
      <c r="M116" s="135"/>
      <c r="N116" s="136"/>
      <c r="O116" s="135"/>
      <c r="P116" s="135"/>
      <c r="Q116" s="135"/>
      <c r="R116" s="135"/>
      <c r="S116" s="135"/>
      <c r="T116" s="135"/>
      <c r="U116" s="135"/>
      <c r="V116" s="135"/>
      <c r="W116" s="136"/>
      <c r="X116" s="136"/>
      <c r="Y116" s="135"/>
      <c r="Z116" s="135"/>
    </row>
    <row r="117" spans="2:26" x14ac:dyDescent="0.25">
      <c r="B117" s="129"/>
      <c r="C117" s="130"/>
      <c r="D117" s="131"/>
      <c r="E117" s="132"/>
      <c r="F117" s="133"/>
      <c r="G117" s="133"/>
      <c r="H117" s="135"/>
      <c r="I117" s="135"/>
      <c r="J117" s="135"/>
      <c r="K117" s="135"/>
      <c r="L117" s="135"/>
      <c r="M117" s="135"/>
      <c r="N117" s="136"/>
      <c r="O117" s="135"/>
      <c r="P117" s="135"/>
      <c r="Q117" s="135"/>
      <c r="R117" s="135"/>
      <c r="S117" s="135"/>
      <c r="T117" s="135"/>
      <c r="U117" s="135"/>
      <c r="V117" s="135"/>
      <c r="W117" s="135"/>
      <c r="X117" s="135"/>
      <c r="Y117" s="135"/>
      <c r="Z117" s="135"/>
    </row>
    <row r="118" spans="2:26" x14ac:dyDescent="0.25">
      <c r="B118" s="129"/>
      <c r="C118" s="130"/>
      <c r="D118" s="131"/>
      <c r="E118" s="132"/>
      <c r="F118" s="133"/>
      <c r="G118" s="133"/>
      <c r="H118" s="135"/>
      <c r="I118" s="135"/>
      <c r="J118" s="135"/>
      <c r="K118" s="135"/>
      <c r="L118" s="135"/>
      <c r="M118" s="135"/>
      <c r="N118" s="136"/>
      <c r="O118" s="135"/>
      <c r="P118" s="135"/>
      <c r="Q118" s="135"/>
      <c r="R118" s="135"/>
      <c r="S118" s="135"/>
      <c r="T118" s="135"/>
      <c r="U118" s="135"/>
      <c r="V118" s="135"/>
      <c r="W118" s="135"/>
      <c r="X118" s="135"/>
      <c r="Y118" s="135"/>
      <c r="Z118" s="135"/>
    </row>
    <row r="119" spans="2:26" x14ac:dyDescent="0.25">
      <c r="B119" s="129"/>
      <c r="C119" s="130"/>
      <c r="D119" s="131"/>
      <c r="E119" s="132"/>
      <c r="F119" s="133"/>
      <c r="G119" s="133"/>
      <c r="H119" s="135"/>
      <c r="I119" s="135"/>
      <c r="J119" s="135"/>
      <c r="K119" s="135"/>
      <c r="L119" s="135"/>
      <c r="M119" s="135"/>
      <c r="N119" s="136"/>
      <c r="O119" s="135"/>
      <c r="P119" s="135"/>
      <c r="Q119" s="135"/>
      <c r="R119" s="135"/>
      <c r="S119" s="135"/>
      <c r="T119" s="135"/>
      <c r="U119" s="135"/>
      <c r="V119" s="135"/>
      <c r="W119" s="135"/>
      <c r="X119" s="135"/>
      <c r="Y119" s="135"/>
      <c r="Z119" s="135"/>
    </row>
    <row r="120" spans="2:26" x14ac:dyDescent="0.25">
      <c r="B120" s="138"/>
      <c r="C120" s="139"/>
      <c r="D120" s="138"/>
      <c r="E120" s="139"/>
      <c r="F120" s="140"/>
      <c r="G120" s="140"/>
      <c r="H120" s="141"/>
      <c r="I120" s="141"/>
      <c r="J120" s="141"/>
      <c r="K120" s="141"/>
      <c r="L120" s="141"/>
      <c r="M120" s="141"/>
      <c r="N120" s="142"/>
      <c r="O120" s="141"/>
      <c r="P120" s="141"/>
      <c r="Q120" s="141"/>
      <c r="R120" s="141"/>
      <c r="S120" s="141"/>
      <c r="T120" s="141"/>
      <c r="U120" s="141"/>
      <c r="V120" s="141"/>
      <c r="W120" s="141"/>
      <c r="X120" s="141"/>
      <c r="Y120" s="141"/>
      <c r="Z120" s="141"/>
    </row>
    <row r="122" spans="2:26" x14ac:dyDescent="0.25">
      <c r="B122" s="129"/>
      <c r="C122" s="143"/>
      <c r="D122" s="144"/>
      <c r="E122" s="145"/>
      <c r="F122" s="145"/>
      <c r="G122" s="145"/>
      <c r="H122" s="135"/>
      <c r="I122" s="135"/>
      <c r="J122" s="135"/>
      <c r="K122" s="135"/>
      <c r="L122" s="135"/>
      <c r="M122" s="135"/>
      <c r="O122" s="135"/>
      <c r="P122" s="135"/>
      <c r="Q122" s="135"/>
      <c r="R122" s="135"/>
      <c r="S122" s="135"/>
      <c r="T122" s="135"/>
      <c r="U122" s="135"/>
      <c r="V122" s="135"/>
      <c r="W122" s="135"/>
      <c r="X122" s="135"/>
      <c r="Y122" s="135"/>
      <c r="Z122" s="135"/>
    </row>
    <row r="123" spans="2:26" x14ac:dyDescent="0.25">
      <c r="B123" s="129"/>
      <c r="C123" s="143"/>
      <c r="D123" s="144"/>
      <c r="E123" s="145"/>
      <c r="F123" s="145"/>
      <c r="G123" s="145"/>
      <c r="H123" s="135"/>
      <c r="I123" s="135"/>
      <c r="J123" s="135"/>
      <c r="K123" s="135"/>
      <c r="L123" s="135"/>
      <c r="M123" s="135"/>
      <c r="N123" s="136"/>
      <c r="O123" s="135"/>
      <c r="P123" s="135"/>
      <c r="Q123" s="135"/>
      <c r="R123" s="135"/>
      <c r="S123" s="135"/>
      <c r="T123" s="135"/>
      <c r="U123" s="135"/>
      <c r="V123" s="135"/>
      <c r="W123" s="135"/>
      <c r="X123" s="135"/>
      <c r="Y123" s="135"/>
      <c r="Z123" s="135"/>
    </row>
    <row r="124" spans="2:26" x14ac:dyDescent="0.25">
      <c r="B124" s="129"/>
      <c r="C124" s="143"/>
      <c r="D124" s="144"/>
      <c r="E124" s="145"/>
      <c r="F124" s="145"/>
      <c r="G124" s="145"/>
      <c r="H124" s="135"/>
      <c r="I124" s="135"/>
      <c r="J124" s="135"/>
      <c r="K124" s="135"/>
      <c r="L124" s="135"/>
      <c r="M124" s="135"/>
      <c r="N124" s="136"/>
      <c r="O124" s="135"/>
      <c r="P124" s="135"/>
      <c r="Q124" s="135"/>
      <c r="R124" s="135"/>
      <c r="S124" s="135"/>
      <c r="T124" s="135"/>
      <c r="U124" s="135"/>
      <c r="V124" s="135"/>
      <c r="W124" s="135"/>
      <c r="X124" s="135"/>
      <c r="Y124" s="135"/>
      <c r="Z124" s="135"/>
    </row>
    <row r="125" spans="2:26" x14ac:dyDescent="0.25">
      <c r="B125" s="129"/>
      <c r="C125" s="143"/>
      <c r="D125" s="144"/>
      <c r="E125" s="145"/>
      <c r="F125" s="145"/>
      <c r="G125" s="145"/>
      <c r="H125" s="135"/>
      <c r="I125" s="135"/>
      <c r="J125" s="135"/>
      <c r="K125" s="135"/>
      <c r="L125" s="135"/>
      <c r="M125" s="135"/>
      <c r="N125" s="136"/>
      <c r="O125" s="135"/>
      <c r="P125" s="135"/>
      <c r="Q125" s="135"/>
      <c r="R125" s="135"/>
      <c r="S125" s="135"/>
      <c r="T125" s="135"/>
      <c r="U125" s="135"/>
      <c r="V125" s="135"/>
      <c r="W125" s="135"/>
      <c r="X125" s="135"/>
      <c r="Y125" s="135"/>
      <c r="Z125" s="135"/>
    </row>
    <row r="126" spans="2:26" x14ac:dyDescent="0.25">
      <c r="B126" s="129"/>
      <c r="C126" s="143"/>
      <c r="D126" s="144"/>
      <c r="E126" s="145"/>
      <c r="F126" s="145"/>
      <c r="G126" s="145"/>
      <c r="H126" s="135"/>
      <c r="I126" s="135"/>
      <c r="J126" s="135"/>
      <c r="K126" s="135"/>
      <c r="L126" s="135"/>
      <c r="M126" s="135"/>
      <c r="N126" s="136"/>
      <c r="O126" s="135"/>
      <c r="P126" s="135"/>
      <c r="Q126" s="135"/>
      <c r="R126" s="135"/>
      <c r="S126" s="135"/>
      <c r="T126" s="135"/>
      <c r="U126" s="135"/>
      <c r="V126" s="135"/>
      <c r="W126" s="135"/>
      <c r="X126" s="135"/>
      <c r="Y126" s="135"/>
      <c r="Z126" s="135"/>
    </row>
    <row r="127" spans="2:26" x14ac:dyDescent="0.25">
      <c r="B127" s="129"/>
      <c r="C127" s="143"/>
      <c r="D127" s="144"/>
      <c r="E127" s="145"/>
      <c r="F127" s="145"/>
      <c r="G127" s="145"/>
      <c r="H127" s="135"/>
      <c r="I127" s="135"/>
      <c r="J127" s="135"/>
      <c r="K127" s="135"/>
      <c r="L127" s="135"/>
      <c r="M127" s="135"/>
      <c r="N127" s="136"/>
      <c r="O127" s="135"/>
      <c r="P127" s="135"/>
      <c r="Q127" s="135"/>
      <c r="R127" s="135"/>
      <c r="S127" s="135"/>
      <c r="T127" s="135"/>
      <c r="U127" s="135"/>
      <c r="V127" s="135"/>
      <c r="W127" s="135"/>
      <c r="X127" s="135"/>
      <c r="Y127" s="135"/>
      <c r="Z127" s="135"/>
    </row>
    <row r="128" spans="2:26" x14ac:dyDescent="0.25">
      <c r="B128" s="129"/>
      <c r="C128" s="143"/>
      <c r="D128" s="144"/>
      <c r="E128" s="145"/>
      <c r="F128" s="145"/>
      <c r="G128" s="145"/>
      <c r="H128" s="135"/>
      <c r="I128" s="135"/>
      <c r="J128" s="135"/>
      <c r="K128" s="135"/>
      <c r="L128" s="135"/>
      <c r="M128" s="135"/>
      <c r="N128" s="136"/>
      <c r="O128" s="135"/>
      <c r="P128" s="135"/>
      <c r="Q128" s="135"/>
      <c r="R128" s="135"/>
      <c r="S128" s="135"/>
      <c r="T128" s="135"/>
      <c r="U128" s="135"/>
      <c r="V128" s="135"/>
      <c r="W128" s="135"/>
      <c r="X128" s="135"/>
      <c r="Y128" s="135"/>
      <c r="Z128" s="135"/>
    </row>
    <row r="129" spans="2:26" x14ac:dyDescent="0.25">
      <c r="B129" s="129"/>
      <c r="C129" s="143"/>
      <c r="D129" s="144"/>
      <c r="E129" s="145"/>
      <c r="F129" s="145"/>
      <c r="G129" s="145"/>
      <c r="H129" s="135"/>
      <c r="I129" s="135"/>
      <c r="J129" s="135"/>
      <c r="K129" s="135"/>
      <c r="L129" s="135"/>
      <c r="M129" s="135"/>
      <c r="N129" s="136"/>
      <c r="O129" s="135"/>
      <c r="P129" s="135"/>
      <c r="Q129" s="135"/>
      <c r="R129" s="135"/>
      <c r="S129" s="135"/>
      <c r="T129" s="135"/>
      <c r="U129" s="135"/>
      <c r="V129" s="135"/>
      <c r="W129" s="135"/>
      <c r="X129" s="135"/>
      <c r="Y129" s="135"/>
      <c r="Z129" s="135"/>
    </row>
    <row r="130" spans="2:26" x14ac:dyDescent="0.25">
      <c r="B130" s="129"/>
      <c r="C130" s="143"/>
      <c r="D130" s="144"/>
      <c r="E130" s="145"/>
      <c r="F130" s="145"/>
      <c r="G130" s="145"/>
      <c r="H130" s="135"/>
      <c r="I130" s="135"/>
      <c r="J130" s="135"/>
      <c r="K130" s="135"/>
      <c r="L130" s="135"/>
      <c r="M130" s="135"/>
      <c r="N130" s="136"/>
      <c r="O130" s="135"/>
      <c r="P130" s="135"/>
      <c r="Q130" s="135"/>
      <c r="R130" s="135"/>
      <c r="S130" s="135"/>
      <c r="T130" s="135"/>
      <c r="U130" s="135"/>
      <c r="V130" s="135"/>
      <c r="W130" s="135"/>
      <c r="X130" s="135"/>
      <c r="Y130" s="135"/>
      <c r="Z130" s="135"/>
    </row>
    <row r="131" spans="2:26" x14ac:dyDescent="0.25">
      <c r="B131" s="129"/>
      <c r="C131" s="143"/>
      <c r="D131" s="144"/>
      <c r="E131" s="145"/>
      <c r="F131" s="145"/>
      <c r="G131" s="145"/>
      <c r="H131" s="135"/>
      <c r="I131" s="135"/>
      <c r="J131" s="135"/>
      <c r="K131" s="135"/>
      <c r="L131" s="135"/>
      <c r="M131" s="135"/>
      <c r="N131" s="136"/>
      <c r="O131" s="135"/>
      <c r="P131" s="135"/>
      <c r="Q131" s="135"/>
      <c r="R131" s="135"/>
      <c r="S131" s="135"/>
      <c r="T131" s="135"/>
      <c r="U131" s="135"/>
      <c r="V131" s="135"/>
      <c r="W131" s="135"/>
      <c r="X131" s="135"/>
      <c r="Y131" s="135"/>
      <c r="Z131" s="135"/>
    </row>
    <row r="132" spans="2:26" x14ac:dyDescent="0.25">
      <c r="B132" s="129"/>
      <c r="C132" s="146"/>
      <c r="D132" s="144"/>
      <c r="E132" s="145"/>
      <c r="F132" s="145"/>
      <c r="G132" s="145"/>
      <c r="H132" s="135"/>
      <c r="I132" s="135"/>
      <c r="J132" s="135"/>
      <c r="K132" s="135"/>
      <c r="L132" s="135"/>
      <c r="M132" s="135"/>
      <c r="N132" s="136"/>
      <c r="O132" s="135"/>
      <c r="P132" s="135"/>
      <c r="Q132" s="135"/>
      <c r="R132" s="135"/>
      <c r="S132" s="135"/>
      <c r="T132" s="135"/>
      <c r="U132" s="135"/>
      <c r="V132" s="135"/>
      <c r="W132" s="135"/>
      <c r="X132" s="135"/>
      <c r="Y132" s="135"/>
      <c r="Z132" s="135"/>
    </row>
    <row r="133" spans="2:26" x14ac:dyDescent="0.25">
      <c r="B133" s="129"/>
      <c r="C133" s="143"/>
      <c r="D133" s="144"/>
      <c r="E133" s="145"/>
      <c r="F133" s="145"/>
      <c r="G133" s="145"/>
      <c r="H133" s="135"/>
      <c r="I133" s="135"/>
      <c r="J133" s="135"/>
      <c r="K133" s="135"/>
      <c r="L133" s="135"/>
      <c r="M133" s="135"/>
      <c r="N133" s="136"/>
      <c r="O133" s="135"/>
      <c r="P133" s="135"/>
      <c r="Q133" s="135"/>
      <c r="R133" s="135"/>
      <c r="S133" s="135"/>
      <c r="T133" s="135"/>
      <c r="U133" s="135"/>
      <c r="V133" s="135"/>
      <c r="W133" s="135"/>
      <c r="X133" s="135"/>
      <c r="Y133" s="135"/>
      <c r="Z133" s="135"/>
    </row>
    <row r="134" spans="2:26" x14ac:dyDescent="0.25">
      <c r="B134" s="129"/>
      <c r="C134" s="146"/>
      <c r="D134" s="144"/>
      <c r="E134" s="145"/>
      <c r="F134" s="145"/>
      <c r="G134" s="145"/>
      <c r="H134" s="135"/>
      <c r="I134" s="135"/>
      <c r="J134" s="135"/>
      <c r="K134" s="135"/>
      <c r="L134" s="135"/>
      <c r="M134" s="135"/>
      <c r="N134" s="136"/>
      <c r="O134" s="135"/>
      <c r="P134" s="135"/>
      <c r="Q134" s="135"/>
      <c r="R134" s="135"/>
      <c r="S134" s="135"/>
      <c r="T134" s="135"/>
      <c r="U134" s="135"/>
      <c r="V134" s="135"/>
      <c r="W134" s="135"/>
      <c r="X134" s="135"/>
      <c r="Y134" s="135"/>
      <c r="Z134" s="135"/>
    </row>
    <row r="135" spans="2:26" x14ac:dyDescent="0.25">
      <c r="B135" s="129"/>
      <c r="C135" s="146"/>
      <c r="D135" s="144"/>
      <c r="E135" s="145"/>
      <c r="F135" s="145"/>
      <c r="G135" s="145"/>
      <c r="H135" s="135"/>
      <c r="I135" s="135"/>
      <c r="J135" s="135"/>
      <c r="K135" s="135"/>
      <c r="L135" s="135"/>
      <c r="M135" s="135"/>
      <c r="N135" s="136"/>
      <c r="O135" s="135"/>
      <c r="P135" s="135"/>
      <c r="Q135" s="135"/>
      <c r="R135" s="135"/>
      <c r="S135" s="135"/>
      <c r="T135" s="135"/>
      <c r="U135" s="135"/>
      <c r="V135" s="135"/>
      <c r="W135" s="135"/>
      <c r="X135" s="135"/>
      <c r="Y135" s="135"/>
      <c r="Z135" s="135"/>
    </row>
    <row r="136" spans="2:26" x14ac:dyDescent="0.25">
      <c r="B136" s="129"/>
      <c r="C136" s="143"/>
      <c r="D136" s="144"/>
      <c r="E136" s="145"/>
      <c r="F136" s="145"/>
      <c r="G136" s="145"/>
      <c r="N136" s="147"/>
      <c r="X136" s="135"/>
      <c r="Y136" s="135"/>
      <c r="Z136" s="135"/>
    </row>
    <row r="137" spans="2:26" x14ac:dyDescent="0.25">
      <c r="B137" s="129"/>
      <c r="C137" s="146"/>
      <c r="D137" s="144"/>
      <c r="E137" s="145"/>
      <c r="F137" s="145"/>
      <c r="G137" s="145"/>
      <c r="H137" s="135"/>
      <c r="I137" s="135"/>
      <c r="J137" s="135"/>
      <c r="K137" s="135"/>
      <c r="L137" s="135"/>
      <c r="M137" s="135"/>
      <c r="N137" s="147"/>
      <c r="O137" s="135"/>
      <c r="P137" s="135"/>
      <c r="Q137" s="135"/>
      <c r="R137" s="135"/>
      <c r="S137" s="135"/>
      <c r="T137" s="135"/>
      <c r="U137" s="135"/>
      <c r="V137" s="135"/>
      <c r="W137" s="135"/>
      <c r="X137" s="135"/>
      <c r="Y137" s="135"/>
      <c r="Z137" s="135"/>
    </row>
    <row r="138" spans="2:26" x14ac:dyDescent="0.25">
      <c r="B138" s="129"/>
      <c r="C138" s="143"/>
      <c r="D138" s="144"/>
      <c r="E138" s="145"/>
      <c r="F138" s="145"/>
      <c r="G138" s="145"/>
      <c r="H138" s="135"/>
      <c r="I138" s="135"/>
      <c r="J138" s="135"/>
      <c r="K138" s="135"/>
      <c r="L138" s="135"/>
      <c r="M138" s="135"/>
      <c r="N138" s="136"/>
      <c r="O138" s="135"/>
      <c r="P138" s="135"/>
      <c r="Q138" s="135"/>
      <c r="R138" s="135"/>
      <c r="S138" s="135"/>
      <c r="T138" s="135"/>
      <c r="U138" s="135"/>
      <c r="V138" s="135"/>
      <c r="W138" s="135"/>
      <c r="X138" s="135"/>
      <c r="Y138" s="135"/>
      <c r="Z138" s="135"/>
    </row>
    <row r="139" spans="2:26" x14ac:dyDescent="0.25">
      <c r="B139" s="129"/>
      <c r="C139" s="143"/>
      <c r="D139" s="144"/>
      <c r="E139" s="145"/>
      <c r="F139" s="145"/>
      <c r="G139" s="145"/>
      <c r="H139" s="135"/>
      <c r="I139" s="135"/>
      <c r="J139" s="135"/>
      <c r="K139" s="135"/>
      <c r="L139" s="135"/>
      <c r="M139" s="135"/>
      <c r="N139" s="136"/>
      <c r="O139" s="135"/>
      <c r="P139" s="135"/>
      <c r="Q139" s="135"/>
      <c r="R139" s="135"/>
      <c r="S139" s="135"/>
      <c r="T139" s="135"/>
      <c r="U139" s="135"/>
      <c r="V139" s="135"/>
      <c r="W139" s="135"/>
      <c r="X139" s="135"/>
      <c r="Y139" s="135"/>
      <c r="Z139" s="135"/>
    </row>
    <row r="140" spans="2:26" x14ac:dyDescent="0.25">
      <c r="B140" s="129"/>
      <c r="C140" s="143"/>
      <c r="D140" s="144"/>
      <c r="E140" s="145"/>
      <c r="F140" s="145"/>
      <c r="G140" s="145"/>
      <c r="H140" s="135"/>
      <c r="I140" s="135"/>
      <c r="J140" s="135"/>
      <c r="K140" s="135"/>
      <c r="L140" s="135"/>
      <c r="M140" s="135"/>
      <c r="N140" s="136"/>
      <c r="O140" s="135"/>
      <c r="P140" s="135"/>
      <c r="Q140" s="135"/>
      <c r="R140" s="135"/>
      <c r="S140" s="135"/>
      <c r="T140" s="135"/>
      <c r="U140" s="135"/>
      <c r="V140" s="135"/>
      <c r="W140" s="135"/>
      <c r="X140" s="135"/>
      <c r="Y140" s="135"/>
      <c r="Z140" s="135"/>
    </row>
    <row r="141" spans="2:26" x14ac:dyDescent="0.25">
      <c r="B141" s="129"/>
      <c r="C141" s="146"/>
      <c r="D141" s="144"/>
      <c r="E141" s="145"/>
      <c r="F141" s="145"/>
      <c r="G141" s="145"/>
      <c r="H141" s="135"/>
      <c r="I141" s="135"/>
      <c r="J141" s="135"/>
      <c r="K141" s="135"/>
      <c r="L141" s="135"/>
      <c r="M141" s="135"/>
      <c r="N141" s="136"/>
      <c r="O141" s="135"/>
      <c r="P141" s="135"/>
      <c r="Q141" s="135"/>
      <c r="R141" s="135"/>
      <c r="S141" s="135"/>
      <c r="T141" s="135"/>
      <c r="U141" s="135"/>
      <c r="V141" s="135"/>
      <c r="W141" s="135"/>
      <c r="X141" s="135"/>
      <c r="Y141" s="135"/>
      <c r="Z141" s="135"/>
    </row>
    <row r="142" spans="2:26" x14ac:dyDescent="0.25">
      <c r="B142" s="129"/>
      <c r="C142" s="143"/>
      <c r="D142" s="144"/>
      <c r="E142" s="145"/>
      <c r="F142" s="145"/>
      <c r="G142" s="145"/>
      <c r="H142" s="135"/>
      <c r="I142" s="135"/>
      <c r="J142" s="135"/>
      <c r="K142" s="135"/>
      <c r="L142" s="135"/>
      <c r="M142" s="135"/>
      <c r="N142" s="136"/>
      <c r="O142" s="135"/>
      <c r="P142" s="135"/>
      <c r="Q142" s="135"/>
      <c r="R142" s="135"/>
      <c r="S142" s="135"/>
      <c r="T142" s="135"/>
      <c r="U142" s="135"/>
      <c r="V142" s="135"/>
      <c r="W142" s="135"/>
      <c r="X142" s="135"/>
      <c r="Y142" s="135"/>
      <c r="Z142" s="135"/>
    </row>
    <row r="143" spans="2:26" x14ac:dyDescent="0.25">
      <c r="B143" s="129"/>
      <c r="C143" s="143"/>
      <c r="D143" s="144"/>
      <c r="E143" s="145"/>
      <c r="F143" s="145"/>
      <c r="G143" s="145"/>
      <c r="H143" s="135"/>
      <c r="I143" s="135"/>
      <c r="J143" s="135"/>
      <c r="K143" s="135"/>
      <c r="L143" s="135"/>
      <c r="M143" s="135"/>
      <c r="N143" s="136"/>
      <c r="O143" s="135"/>
      <c r="P143" s="135"/>
      <c r="Q143" s="135"/>
      <c r="R143" s="135"/>
      <c r="S143" s="135"/>
      <c r="T143" s="135"/>
      <c r="U143" s="135"/>
      <c r="V143" s="135"/>
      <c r="W143" s="135"/>
      <c r="X143" s="135"/>
      <c r="Y143" s="135"/>
      <c r="Z143" s="135"/>
    </row>
    <row r="144" spans="2:26" x14ac:dyDescent="0.25">
      <c r="B144" s="129"/>
      <c r="C144" s="143"/>
      <c r="D144" s="144"/>
      <c r="E144" s="145"/>
      <c r="F144" s="145"/>
      <c r="G144" s="145"/>
      <c r="H144" s="135"/>
      <c r="I144" s="135"/>
      <c r="J144" s="135"/>
      <c r="K144" s="135"/>
      <c r="L144" s="135"/>
      <c r="M144" s="135"/>
      <c r="N144" s="136"/>
      <c r="O144" s="135"/>
      <c r="P144" s="135"/>
      <c r="Q144" s="135"/>
      <c r="R144" s="135"/>
      <c r="S144" s="135"/>
      <c r="T144" s="135"/>
      <c r="U144" s="135"/>
      <c r="V144" s="135"/>
      <c r="W144" s="135"/>
      <c r="X144" s="135"/>
      <c r="Y144" s="135"/>
      <c r="Z144" s="135"/>
    </row>
    <row r="145" spans="2:26" x14ac:dyDescent="0.25">
      <c r="B145" s="129"/>
      <c r="C145" s="143"/>
      <c r="D145" s="144"/>
      <c r="E145" s="145"/>
      <c r="F145" s="145"/>
      <c r="G145" s="145"/>
      <c r="H145" s="135"/>
      <c r="I145" s="135"/>
      <c r="J145" s="135"/>
      <c r="K145" s="135"/>
      <c r="L145" s="135"/>
      <c r="M145" s="135"/>
      <c r="N145" s="136"/>
      <c r="O145" s="135"/>
      <c r="P145" s="135"/>
      <c r="Q145" s="135"/>
      <c r="R145" s="135"/>
      <c r="S145" s="135"/>
      <c r="T145" s="135"/>
      <c r="U145" s="135"/>
      <c r="V145" s="135"/>
      <c r="W145" s="135"/>
      <c r="X145" s="135"/>
      <c r="Y145" s="135"/>
      <c r="Z145" s="135"/>
    </row>
    <row r="146" spans="2:26" x14ac:dyDescent="0.25">
      <c r="B146" s="129"/>
      <c r="C146" s="143"/>
      <c r="D146" s="144"/>
      <c r="E146" s="145"/>
      <c r="F146" s="145"/>
      <c r="G146" s="145"/>
      <c r="H146" s="135"/>
      <c r="I146" s="135"/>
      <c r="J146" s="135"/>
      <c r="K146" s="135"/>
      <c r="L146" s="135"/>
      <c r="M146" s="135"/>
      <c r="N146" s="136"/>
      <c r="O146" s="135"/>
      <c r="P146" s="135"/>
      <c r="Q146" s="135"/>
      <c r="R146" s="135"/>
      <c r="S146" s="135"/>
      <c r="T146" s="135"/>
      <c r="U146" s="135"/>
      <c r="V146" s="135"/>
      <c r="W146" s="135"/>
      <c r="X146" s="135"/>
      <c r="Y146" s="135"/>
      <c r="Z146" s="135"/>
    </row>
    <row r="147" spans="2:26" x14ac:dyDescent="0.25">
      <c r="B147" s="129"/>
      <c r="C147" s="143"/>
      <c r="D147" s="144"/>
      <c r="E147" s="145"/>
      <c r="F147" s="145"/>
      <c r="G147" s="145"/>
      <c r="H147" s="135"/>
      <c r="I147" s="135"/>
      <c r="J147" s="135"/>
      <c r="K147" s="135"/>
      <c r="L147" s="135"/>
      <c r="M147" s="135"/>
      <c r="N147" s="136"/>
      <c r="O147" s="135"/>
      <c r="P147" s="135"/>
      <c r="Q147" s="135"/>
      <c r="R147" s="135"/>
      <c r="S147" s="135"/>
      <c r="T147" s="135"/>
      <c r="U147" s="135"/>
      <c r="V147" s="135"/>
      <c r="W147" s="135"/>
      <c r="X147" s="135"/>
      <c r="Y147" s="135"/>
      <c r="Z147" s="135"/>
    </row>
    <row r="148" spans="2:26" x14ac:dyDescent="0.25">
      <c r="B148" s="129"/>
      <c r="C148" s="143"/>
      <c r="D148" s="144"/>
      <c r="E148" s="145"/>
      <c r="F148" s="145"/>
      <c r="G148" s="145"/>
      <c r="H148" s="135"/>
      <c r="I148" s="135"/>
      <c r="J148" s="135"/>
      <c r="K148" s="135"/>
      <c r="L148" s="135"/>
      <c r="M148" s="135"/>
      <c r="N148" s="136"/>
      <c r="O148" s="135"/>
      <c r="P148" s="135"/>
      <c r="Q148" s="135"/>
      <c r="R148" s="135"/>
      <c r="S148" s="135"/>
      <c r="T148" s="135"/>
      <c r="U148" s="135"/>
      <c r="V148" s="135"/>
      <c r="W148" s="135"/>
      <c r="X148" s="135"/>
      <c r="Y148" s="135"/>
      <c r="Z148" s="135"/>
    </row>
    <row r="149" spans="2:26" x14ac:dyDescent="0.25">
      <c r="B149" s="129"/>
      <c r="C149" s="143"/>
      <c r="D149" s="144"/>
      <c r="E149" s="145"/>
      <c r="F149" s="145"/>
      <c r="G149" s="145"/>
      <c r="H149" s="135"/>
      <c r="I149" s="135"/>
      <c r="J149" s="135"/>
      <c r="K149" s="135"/>
      <c r="L149" s="135"/>
      <c r="M149" s="135"/>
      <c r="N149" s="136"/>
      <c r="O149" s="135"/>
      <c r="P149" s="135"/>
      <c r="Q149" s="135"/>
      <c r="R149" s="135"/>
      <c r="S149" s="135"/>
      <c r="T149" s="135"/>
      <c r="U149" s="135"/>
      <c r="V149" s="135"/>
      <c r="W149" s="135"/>
      <c r="X149" s="135"/>
      <c r="Y149" s="135"/>
      <c r="Z149" s="135"/>
    </row>
    <row r="150" spans="2:26" x14ac:dyDescent="0.25">
      <c r="B150" s="129"/>
      <c r="C150" s="143"/>
      <c r="D150" s="144"/>
      <c r="E150" s="145"/>
      <c r="F150" s="145"/>
      <c r="G150" s="145"/>
      <c r="H150" s="135"/>
      <c r="I150" s="135"/>
      <c r="J150" s="135"/>
      <c r="K150" s="135"/>
      <c r="L150" s="135"/>
      <c r="M150" s="135"/>
      <c r="N150" s="136"/>
      <c r="O150" s="135"/>
      <c r="P150" s="135"/>
      <c r="Q150" s="135"/>
      <c r="R150" s="135"/>
      <c r="S150" s="135"/>
      <c r="T150" s="135"/>
      <c r="U150" s="135"/>
      <c r="V150" s="135"/>
      <c r="W150" s="135"/>
      <c r="X150" s="135"/>
      <c r="Y150" s="135"/>
      <c r="Z150" s="135"/>
    </row>
    <row r="151" spans="2:26" x14ac:dyDescent="0.25">
      <c r="B151" s="129"/>
      <c r="C151" s="143"/>
      <c r="D151" s="144"/>
      <c r="E151" s="145"/>
      <c r="F151" s="145"/>
      <c r="G151" s="145"/>
      <c r="H151" s="135"/>
      <c r="I151" s="135"/>
      <c r="J151" s="135"/>
      <c r="K151" s="135"/>
      <c r="L151" s="135"/>
      <c r="M151" s="135"/>
      <c r="N151" s="136"/>
      <c r="O151" s="135"/>
      <c r="P151" s="135"/>
      <c r="Q151" s="135"/>
      <c r="R151" s="135"/>
      <c r="S151" s="135"/>
      <c r="T151" s="135"/>
      <c r="U151" s="135"/>
      <c r="V151" s="135"/>
      <c r="W151" s="135"/>
      <c r="X151" s="135"/>
      <c r="Y151" s="135"/>
      <c r="Z151" s="135"/>
    </row>
    <row r="152" spans="2:26" x14ac:dyDescent="0.25">
      <c r="B152" s="129"/>
      <c r="C152" s="143"/>
      <c r="D152" s="144"/>
      <c r="E152" s="145"/>
      <c r="F152" s="145"/>
      <c r="G152" s="145"/>
      <c r="H152" s="135"/>
      <c r="I152" s="135"/>
      <c r="J152" s="135"/>
      <c r="K152" s="135"/>
      <c r="L152" s="135"/>
      <c r="M152" s="135"/>
      <c r="N152" s="136"/>
      <c r="O152" s="135"/>
      <c r="P152" s="135"/>
      <c r="Q152" s="135"/>
      <c r="R152" s="135"/>
      <c r="S152" s="135"/>
      <c r="T152" s="135"/>
      <c r="U152" s="135"/>
      <c r="V152" s="135"/>
      <c r="W152" s="135"/>
      <c r="X152" s="135"/>
      <c r="Y152" s="135"/>
      <c r="Z152" s="135"/>
    </row>
    <row r="153" spans="2:26" x14ac:dyDescent="0.25">
      <c r="B153" s="129"/>
      <c r="C153" s="143"/>
      <c r="D153" s="144"/>
      <c r="E153" s="145"/>
      <c r="F153" s="145"/>
      <c r="G153" s="145"/>
      <c r="H153" s="135"/>
      <c r="I153" s="135"/>
      <c r="J153" s="135"/>
      <c r="K153" s="135"/>
      <c r="L153" s="135"/>
      <c r="M153" s="135"/>
      <c r="N153" s="136"/>
      <c r="O153" s="135"/>
      <c r="P153" s="135"/>
      <c r="Q153" s="135"/>
      <c r="R153" s="135"/>
      <c r="S153" s="135"/>
      <c r="T153" s="135"/>
      <c r="U153" s="135"/>
      <c r="V153" s="135"/>
      <c r="W153" s="135"/>
      <c r="X153" s="135"/>
      <c r="Y153" s="135"/>
      <c r="Z153" s="135"/>
    </row>
    <row r="154" spans="2:26" x14ac:dyDescent="0.25">
      <c r="B154" s="129"/>
      <c r="C154" s="143"/>
      <c r="D154" s="144"/>
      <c r="E154" s="145"/>
      <c r="F154" s="145"/>
      <c r="G154" s="145"/>
      <c r="H154" s="135"/>
      <c r="I154" s="135"/>
      <c r="J154" s="135"/>
      <c r="K154" s="135"/>
      <c r="L154" s="135"/>
      <c r="M154" s="135"/>
      <c r="N154" s="136"/>
      <c r="O154" s="135"/>
      <c r="P154" s="135"/>
      <c r="Q154" s="135"/>
      <c r="R154" s="135"/>
      <c r="S154" s="135"/>
      <c r="T154" s="135"/>
      <c r="U154" s="135"/>
      <c r="V154" s="135"/>
      <c r="W154" s="135"/>
      <c r="X154" s="135"/>
      <c r="Y154" s="135"/>
      <c r="Z154" s="135"/>
    </row>
    <row r="155" spans="2:26" x14ac:dyDescent="0.25">
      <c r="B155" s="129"/>
      <c r="C155" s="143"/>
      <c r="D155" s="144"/>
      <c r="E155" s="145"/>
      <c r="F155" s="145"/>
      <c r="G155" s="145"/>
      <c r="H155" s="135"/>
      <c r="I155" s="135"/>
      <c r="J155" s="135"/>
      <c r="K155" s="135"/>
      <c r="L155" s="135"/>
      <c r="M155" s="135"/>
      <c r="N155" s="136"/>
      <c r="O155" s="135"/>
      <c r="P155" s="135"/>
      <c r="Q155" s="135"/>
      <c r="R155" s="135"/>
      <c r="S155" s="135"/>
      <c r="T155" s="135"/>
      <c r="U155" s="135"/>
      <c r="V155" s="135"/>
      <c r="W155" s="135"/>
      <c r="X155" s="135"/>
      <c r="Y155" s="135"/>
      <c r="Z155" s="135"/>
    </row>
    <row r="156" spans="2:26" x14ac:dyDescent="0.25">
      <c r="B156" s="129"/>
      <c r="C156" s="143"/>
      <c r="D156" s="144"/>
      <c r="E156" s="145"/>
      <c r="F156" s="145"/>
      <c r="G156" s="145"/>
      <c r="H156" s="135"/>
      <c r="I156" s="135"/>
      <c r="J156" s="135"/>
      <c r="K156" s="135"/>
      <c r="L156" s="135"/>
      <c r="M156" s="135"/>
      <c r="N156" s="136"/>
      <c r="O156" s="135"/>
      <c r="P156" s="135"/>
      <c r="Q156" s="135"/>
      <c r="R156" s="135"/>
      <c r="S156" s="135"/>
      <c r="T156" s="135"/>
      <c r="U156" s="135"/>
      <c r="V156" s="135"/>
      <c r="W156" s="135"/>
      <c r="X156" s="135"/>
      <c r="Y156" s="135"/>
      <c r="Z156" s="135"/>
    </row>
    <row r="157" spans="2:26" x14ac:dyDescent="0.25">
      <c r="B157" s="129"/>
      <c r="C157" s="146"/>
      <c r="D157" s="144"/>
      <c r="E157" s="145"/>
      <c r="F157" s="145"/>
      <c r="G157" s="145"/>
      <c r="H157" s="135"/>
      <c r="I157" s="135"/>
      <c r="J157" s="135"/>
      <c r="K157" s="135"/>
      <c r="L157" s="135"/>
      <c r="M157" s="135"/>
      <c r="N157" s="136"/>
      <c r="O157" s="135"/>
      <c r="P157" s="135"/>
      <c r="Q157" s="135"/>
      <c r="R157" s="135"/>
      <c r="S157" s="135"/>
      <c r="T157" s="135"/>
      <c r="U157" s="135"/>
      <c r="V157" s="135"/>
      <c r="W157" s="135"/>
      <c r="X157" s="135"/>
      <c r="Y157" s="135"/>
      <c r="Z157" s="135"/>
    </row>
    <row r="158" spans="2:26" x14ac:dyDescent="0.25">
      <c r="B158" s="129"/>
      <c r="C158" s="143"/>
      <c r="D158" s="144"/>
      <c r="E158" s="145"/>
      <c r="F158" s="145"/>
      <c r="G158" s="145"/>
      <c r="H158" s="135"/>
      <c r="I158" s="135"/>
      <c r="J158" s="135"/>
      <c r="K158" s="135"/>
      <c r="L158" s="135"/>
      <c r="M158" s="135"/>
      <c r="N158" s="136"/>
      <c r="O158" s="135"/>
      <c r="P158" s="135"/>
      <c r="Q158" s="135"/>
      <c r="R158" s="135"/>
      <c r="S158" s="135"/>
      <c r="T158" s="135"/>
      <c r="U158" s="135"/>
      <c r="V158" s="135"/>
      <c r="W158" s="135"/>
      <c r="X158" s="135"/>
      <c r="Y158" s="135"/>
      <c r="Z158" s="135"/>
    </row>
    <row r="159" spans="2:26" x14ac:dyDescent="0.25">
      <c r="B159" s="129"/>
      <c r="C159" s="143"/>
      <c r="D159" s="144"/>
      <c r="E159" s="145"/>
      <c r="F159" s="145"/>
      <c r="G159" s="145"/>
      <c r="H159" s="135"/>
      <c r="I159" s="135"/>
      <c r="J159" s="135"/>
      <c r="K159" s="135"/>
      <c r="L159" s="135"/>
      <c r="M159" s="135"/>
      <c r="N159" s="136"/>
      <c r="O159" s="135"/>
      <c r="P159" s="135"/>
      <c r="Q159" s="135"/>
      <c r="R159" s="135"/>
      <c r="S159" s="135"/>
      <c r="T159" s="135"/>
      <c r="U159" s="135"/>
      <c r="V159" s="135"/>
      <c r="W159" s="135"/>
      <c r="X159" s="135"/>
      <c r="Y159" s="135"/>
      <c r="Z159" s="135"/>
    </row>
    <row r="160" spans="2:26" x14ac:dyDescent="0.25">
      <c r="B160" s="129"/>
      <c r="C160" s="143"/>
      <c r="D160" s="144"/>
      <c r="E160" s="145"/>
      <c r="F160" s="145"/>
      <c r="G160" s="145"/>
      <c r="H160" s="135"/>
      <c r="I160" s="135"/>
      <c r="J160" s="135"/>
      <c r="K160" s="135"/>
      <c r="L160" s="135"/>
      <c r="M160" s="135"/>
      <c r="N160" s="136"/>
      <c r="O160" s="135"/>
      <c r="P160" s="135"/>
      <c r="Q160" s="135"/>
      <c r="R160" s="135"/>
      <c r="S160" s="135"/>
      <c r="T160" s="135"/>
      <c r="U160" s="135"/>
      <c r="V160" s="135"/>
      <c r="W160" s="135"/>
      <c r="X160" s="135"/>
      <c r="Y160" s="135"/>
      <c r="Z160" s="135"/>
    </row>
    <row r="161" spans="2:26" x14ac:dyDescent="0.25">
      <c r="B161" s="129"/>
      <c r="C161" s="143"/>
      <c r="D161" s="144"/>
      <c r="E161" s="145"/>
      <c r="F161" s="145"/>
      <c r="G161" s="145"/>
      <c r="H161" s="135"/>
      <c r="I161" s="135"/>
      <c r="J161" s="135"/>
      <c r="K161" s="135"/>
      <c r="L161" s="135"/>
      <c r="M161" s="135"/>
      <c r="N161" s="136"/>
      <c r="O161" s="135"/>
      <c r="P161" s="135"/>
      <c r="Q161" s="135"/>
      <c r="R161" s="135"/>
      <c r="S161" s="135"/>
      <c r="T161" s="135"/>
      <c r="U161" s="135"/>
      <c r="V161" s="135"/>
      <c r="W161" s="135"/>
      <c r="X161" s="135"/>
      <c r="Y161" s="135"/>
      <c r="Z161" s="135"/>
    </row>
    <row r="162" spans="2:26" x14ac:dyDescent="0.25">
      <c r="B162" s="129"/>
      <c r="C162" s="143"/>
      <c r="D162" s="144"/>
      <c r="E162" s="145"/>
      <c r="F162" s="145"/>
      <c r="G162" s="145"/>
      <c r="H162" s="135"/>
      <c r="I162" s="135"/>
      <c r="J162" s="135"/>
      <c r="K162" s="135"/>
      <c r="L162" s="135"/>
      <c r="M162" s="135"/>
      <c r="N162" s="136"/>
      <c r="O162" s="135"/>
      <c r="P162" s="135"/>
      <c r="Q162" s="135"/>
      <c r="R162" s="135"/>
      <c r="S162" s="135"/>
      <c r="T162" s="135"/>
      <c r="U162" s="135"/>
      <c r="V162" s="135"/>
      <c r="W162" s="135"/>
      <c r="X162" s="135"/>
      <c r="Y162" s="135"/>
      <c r="Z162" s="135"/>
    </row>
    <row r="163" spans="2:26" x14ac:dyDescent="0.25">
      <c r="B163" s="129"/>
      <c r="C163" s="143"/>
      <c r="D163" s="144"/>
      <c r="E163" s="145"/>
      <c r="F163" s="145"/>
      <c r="G163" s="145"/>
      <c r="H163" s="135"/>
      <c r="I163" s="135"/>
      <c r="J163" s="135"/>
      <c r="K163" s="135"/>
      <c r="L163" s="135"/>
      <c r="M163" s="135"/>
      <c r="N163" s="136"/>
      <c r="O163" s="135"/>
      <c r="P163" s="135"/>
      <c r="Q163" s="135"/>
      <c r="R163" s="135"/>
      <c r="S163" s="135"/>
      <c r="T163" s="135"/>
      <c r="U163" s="135"/>
      <c r="V163" s="135"/>
      <c r="W163" s="135"/>
      <c r="X163" s="135"/>
      <c r="Y163" s="135"/>
      <c r="Z163" s="135"/>
    </row>
    <row r="164" spans="2:26" x14ac:dyDescent="0.25">
      <c r="B164" s="129"/>
      <c r="C164" s="143"/>
      <c r="D164" s="144"/>
      <c r="E164" s="145"/>
      <c r="F164" s="145"/>
      <c r="G164" s="145"/>
      <c r="H164" s="135"/>
      <c r="I164" s="135"/>
      <c r="J164" s="135"/>
      <c r="K164" s="135"/>
      <c r="L164" s="135"/>
      <c r="M164" s="135"/>
      <c r="N164" s="136"/>
      <c r="O164" s="135"/>
      <c r="P164" s="135"/>
      <c r="Q164" s="135"/>
      <c r="R164" s="135"/>
      <c r="S164" s="135"/>
      <c r="T164" s="135"/>
      <c r="U164" s="135"/>
      <c r="V164" s="135"/>
      <c r="W164" s="135"/>
      <c r="X164" s="135"/>
      <c r="Y164" s="135"/>
      <c r="Z164" s="135"/>
    </row>
    <row r="165" spans="2:26" x14ac:dyDescent="0.25">
      <c r="B165" s="129"/>
      <c r="C165" s="143"/>
      <c r="D165" s="144"/>
      <c r="E165" s="145"/>
      <c r="F165" s="145"/>
      <c r="G165" s="145"/>
      <c r="H165" s="135"/>
      <c r="I165" s="135"/>
      <c r="J165" s="135"/>
      <c r="K165" s="135"/>
      <c r="L165" s="135"/>
      <c r="M165" s="135"/>
      <c r="N165" s="136"/>
      <c r="O165" s="135"/>
      <c r="P165" s="135"/>
      <c r="Q165" s="135"/>
      <c r="R165" s="135"/>
      <c r="S165" s="135"/>
      <c r="T165" s="135"/>
      <c r="U165" s="135"/>
      <c r="V165" s="135"/>
      <c r="W165" s="135"/>
      <c r="X165" s="135"/>
      <c r="Y165" s="135"/>
      <c r="Z165" s="135"/>
    </row>
    <row r="166" spans="2:26" x14ac:dyDescent="0.25">
      <c r="B166" s="129"/>
      <c r="C166" s="143"/>
      <c r="D166" s="144"/>
      <c r="E166" s="145"/>
      <c r="F166" s="145"/>
      <c r="G166" s="145"/>
      <c r="H166" s="135"/>
      <c r="I166" s="135"/>
      <c r="J166" s="135"/>
      <c r="K166" s="135"/>
      <c r="L166" s="135"/>
      <c r="M166" s="135"/>
      <c r="N166" s="136"/>
      <c r="O166" s="135"/>
      <c r="P166" s="135"/>
      <c r="Q166" s="135"/>
      <c r="R166" s="135"/>
      <c r="S166" s="135"/>
      <c r="T166" s="135"/>
      <c r="U166" s="135"/>
      <c r="V166" s="135"/>
      <c r="W166" s="135"/>
      <c r="X166" s="135"/>
      <c r="Y166" s="135"/>
      <c r="Z166" s="135"/>
    </row>
    <row r="167" spans="2:26" x14ac:dyDescent="0.25">
      <c r="B167" s="129"/>
      <c r="C167" s="143"/>
      <c r="D167" s="144"/>
      <c r="E167" s="145"/>
      <c r="F167" s="145"/>
      <c r="G167" s="145"/>
      <c r="H167" s="135"/>
      <c r="I167" s="135"/>
      <c r="J167" s="135"/>
      <c r="K167" s="135"/>
      <c r="L167" s="135"/>
      <c r="M167" s="135"/>
      <c r="N167" s="136"/>
      <c r="O167" s="135"/>
      <c r="P167" s="135"/>
      <c r="Q167" s="135"/>
      <c r="R167" s="135"/>
      <c r="S167" s="135"/>
      <c r="T167" s="135"/>
      <c r="U167" s="135"/>
      <c r="V167" s="135"/>
      <c r="W167" s="135"/>
      <c r="X167" s="135"/>
      <c r="Y167" s="135"/>
      <c r="Z167" s="135"/>
    </row>
    <row r="168" spans="2:26" x14ac:dyDescent="0.25">
      <c r="B168" s="129"/>
      <c r="C168" s="143"/>
      <c r="D168" s="144"/>
      <c r="E168" s="145"/>
      <c r="F168" s="145"/>
      <c r="G168" s="145"/>
      <c r="H168" s="135"/>
      <c r="I168" s="135"/>
      <c r="J168" s="135"/>
      <c r="K168" s="135"/>
      <c r="L168" s="135"/>
      <c r="M168" s="135"/>
      <c r="N168" s="136"/>
      <c r="O168" s="135"/>
      <c r="P168" s="135"/>
      <c r="Q168" s="135"/>
      <c r="R168" s="135"/>
      <c r="S168" s="135"/>
      <c r="T168" s="135"/>
      <c r="U168" s="135"/>
      <c r="V168" s="135"/>
      <c r="W168" s="135"/>
      <c r="X168" s="135"/>
      <c r="Y168" s="135"/>
      <c r="Z168" s="135"/>
    </row>
    <row r="169" spans="2:26" x14ac:dyDescent="0.25">
      <c r="B169" s="129"/>
      <c r="C169" s="146"/>
      <c r="D169" s="144"/>
      <c r="E169" s="145"/>
      <c r="F169" s="145"/>
      <c r="G169" s="145"/>
      <c r="H169" s="135"/>
      <c r="I169" s="135"/>
      <c r="J169" s="135"/>
      <c r="K169" s="135"/>
      <c r="L169" s="135"/>
      <c r="M169" s="135"/>
      <c r="N169" s="136"/>
      <c r="O169" s="135"/>
      <c r="P169" s="135"/>
      <c r="Q169" s="135"/>
      <c r="R169" s="135"/>
      <c r="S169" s="135"/>
      <c r="T169" s="135"/>
      <c r="U169" s="135"/>
      <c r="V169" s="135"/>
      <c r="W169" s="135"/>
      <c r="X169" s="135"/>
      <c r="Y169" s="135"/>
      <c r="Z169" s="135"/>
    </row>
    <row r="170" spans="2:26" x14ac:dyDescent="0.25">
      <c r="B170" s="129"/>
      <c r="C170" s="130"/>
      <c r="D170" s="144"/>
      <c r="E170" s="145"/>
      <c r="F170" s="145"/>
      <c r="G170" s="145"/>
      <c r="H170" s="135"/>
      <c r="I170" s="135"/>
      <c r="J170" s="135"/>
      <c r="K170" s="135"/>
      <c r="L170" s="135"/>
      <c r="M170" s="135"/>
      <c r="N170" s="136"/>
      <c r="O170" s="135"/>
      <c r="P170" s="135"/>
      <c r="Q170" s="135"/>
      <c r="R170" s="135"/>
      <c r="S170" s="135"/>
      <c r="T170" s="135"/>
      <c r="U170" s="135"/>
      <c r="V170" s="135"/>
      <c r="W170" s="135"/>
      <c r="X170" s="135"/>
      <c r="Y170" s="135"/>
      <c r="Z170" s="135"/>
    </row>
    <row r="171" spans="2:26" x14ac:dyDescent="0.25">
      <c r="B171" s="148"/>
      <c r="C171" s="149"/>
      <c r="D171" s="150"/>
      <c r="E171" s="124"/>
      <c r="F171" s="124"/>
      <c r="G171" s="124"/>
      <c r="H171" s="151"/>
      <c r="I171" s="151"/>
      <c r="J171" s="151"/>
      <c r="K171" s="151"/>
      <c r="L171" s="151"/>
      <c r="M171" s="151"/>
      <c r="N171" s="152"/>
      <c r="O171" s="151"/>
      <c r="P171" s="151"/>
      <c r="Q171" s="151"/>
      <c r="R171" s="151"/>
      <c r="S171" s="151"/>
      <c r="T171" s="151"/>
      <c r="U171" s="151"/>
      <c r="V171" s="151"/>
      <c r="W171" s="151"/>
      <c r="X171" s="153"/>
      <c r="Y171" s="153"/>
      <c r="Z171" s="153"/>
    </row>
  </sheetData>
  <protectedRanges>
    <protectedRange sqref="O111:V111 O115:V115 M23:M26 M17:M19 M28:M34 O17:V19 O23:V26 M43:M47 O28:V34 O38:V39 O43:V47 O51:V62 O66:V74 O78:V80 O84:V84 O88:V90 O94:V95 O98:V99 O103:V107 M38:M39 M111 M115 M103:M107 M98:M99 M94:M95 M88:M90 M84 M78:M80 M66:M74 M51:M62" name="Bereik1"/>
    <protectedRange sqref="O23:V26 M111 O111:V111 O115:V115 O38:V39 O43:V47 M115 O28:V34 M38:M39 M28:M34 M43:M47 M23:M26 O51:V62 O66:V74 O78:V80 O84:V84 O88:V90 O94:V95 O98:V99 O103:V107 M17:M19 O17:V19 M103:M107 M98:M99 M94:M95 M88:M90 M84 M78:M80 M66:M74 M51:M62" name="Bereik2"/>
    <protectedRange sqref="O43:V47 O51:V62 O98:V99 M51:M62 M43:M47 M111 O115:V115 O66:V74 O103:V107 O94:V95 O88:V90 O84:V84 M115 O78:V80 M103:M107 M98:M99 M78:M80 O17:V19 O23:V26 M66:M74 O28:V34 O38:V39 O111:V111 M94:M95 M88:M90 M38:M39 M28:M34 M84 M23:M26 M17:M19" name="Bereik3"/>
    <protectedRange sqref="N38:N39 N43:N47 N51:N62 N28:N34 N17:N19 N23:N26" name="Bereik2_1"/>
    <protectedRange sqref="N115 N66:N74 N78:N80 N84 N88:N90 N94:N95 N99 N103:N107 N111" name="Bereik3_1"/>
    <protectedRange sqref="W51:X62 Z59 W43:X47 W17:X19 W23:X26 W38:X39 W28:X34" name="Bereik2_2"/>
    <protectedRange sqref="W66:X74 X78 W84:X84 W88:X90 W94:X95 W99:X99 W103:X107 W111:X111 W115:X115 W78:W80 X80" name="Bereik3_2"/>
  </protectedRanges>
  <phoneticPr fontId="2" type="noConversion"/>
  <conditionalFormatting sqref="O17:O19 O23:O26 O38:O39 O43:O47 O51:O62 O66:O74 O78:O80 O84 O88:O90 O94:O95 O98:O99 O103:O107 O111 O115 O28:O34">
    <cfRule type="cellIs" dxfId="0" priority="1" stopIfTrue="1" operator="notEqual">
      <formula>#REF!</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Info</vt:lpstr>
      <vt:lpstr>Funding Gap</vt:lpstr>
      <vt:lpstr>Investeringen</vt:lpstr>
      <vt:lpstr>Inkomsten</vt:lpstr>
      <vt:lpstr>Exploitatiekosten</vt:lpstr>
      <vt:lpstr>Restwaarde</vt:lpstr>
      <vt:lpstr>Toelichting</vt:lpstr>
      <vt:lpstr>Exploitatiekosten!Afdrukbereik</vt:lpstr>
      <vt:lpstr>Inkomsten!Afdrukbereik</vt:lpstr>
      <vt:lpstr>Investeringen!Afdrukbereik</vt:lpstr>
      <vt:lpstr>Toelichting!Afdrukbereik</vt:lpstr>
      <vt:lpstr>Inkomsten!Afdruktitels</vt:lpstr>
      <vt:lpstr>Investeringen!Afdruktitels</vt:lpstr>
    </vt:vector>
  </TitlesOfParts>
  <Company>AGB Heusden-Zolder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Pennewaert, Stefaan</dc:creator>
  <cp:lastModifiedBy>Rousseau, Philippe</cp:lastModifiedBy>
  <cp:lastPrinted>2015-04-16T07:55:24Z</cp:lastPrinted>
  <dcterms:created xsi:type="dcterms:W3CDTF">2009-08-17T11:47:29Z</dcterms:created>
  <dcterms:modified xsi:type="dcterms:W3CDTF">2022-09-22T09:18:05Z</dcterms:modified>
</cp:coreProperties>
</file>